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01-Works\02-Work\0213-PMO\06-TEAM-PMO\0-Inputs\"/>
    </mc:Choice>
  </mc:AlternateContent>
  <bookViews>
    <workbookView xWindow="0" yWindow="0" windowWidth="20385" windowHeight="8370" activeTab="1"/>
  </bookViews>
  <sheets>
    <sheet name="PoP" sheetId="22" r:id="rId1"/>
    <sheet name="4220F" sheetId="24" r:id="rId2"/>
    <sheet name="4220D" sheetId="20" r:id="rId3"/>
    <sheet name="PLAN IN EXCEL" sheetId="15" state="hidden" r:id="rId4"/>
    <sheet name="BM" sheetId="6" r:id="rId5"/>
    <sheet name="ACTIVITY (2)" sheetId="11" state="hidden" r:id="rId6"/>
    <sheet name="ACTIVITY" sheetId="8" state="hidden" r:id="rId7"/>
    <sheet name="ESTIMATE (2)" sheetId="4" state="hidden" r:id="rId8"/>
    <sheet name="Sheet3" sheetId="10" state="hidden" r:id="rId9"/>
    <sheet name="NOZZLE" sheetId="19" r:id="rId10"/>
    <sheet name="Welding Qty Estimate" sheetId="18" r:id="rId11"/>
  </sheets>
  <definedNames>
    <definedName name="_xlnm._FilterDatabase" localSheetId="2" hidden="1">'4220D'!$S$1:$S$1331</definedName>
    <definedName name="_xlnm._FilterDatabase" localSheetId="1" hidden="1">'4220F'!$S$1:$S$1331</definedName>
    <definedName name="_xlnm._FilterDatabase" localSheetId="6" hidden="1">ACTIVITY!#REF!</definedName>
    <definedName name="_xlnm._FilterDatabase" localSheetId="5" hidden="1">'ACTIVITY (2)'!#REF!</definedName>
    <definedName name="_xlnm._FilterDatabase" localSheetId="3" hidden="1">'PLAN IN EXCEL'!$E$1:$E$1289</definedName>
    <definedName name="_xlnm.Print_Area" localSheetId="2">'4220D'!$C$1:$T$1288</definedName>
    <definedName name="_xlnm.Print_Area" localSheetId="1">'4220F'!$C$1:$T$1288</definedName>
    <definedName name="_xlnm.Print_Area" localSheetId="6">ACTIVITY!$C$1:$P$428</definedName>
    <definedName name="_xlnm.Print_Area" localSheetId="5">'ACTIVITY (2)'!$A$1:$N$428</definedName>
    <definedName name="_xlnm.Print_Area" localSheetId="4">BM!$A$1:$X$104</definedName>
    <definedName name="_xlnm.Print_Titles" localSheetId="2">'4220D'!$1:$1</definedName>
    <definedName name="_xlnm.Print_Titles" localSheetId="1">'4220F'!$1:$1</definedName>
    <definedName name="_xlnm.Print_Titles" localSheetId="6">ACTIVITY!$1:$1</definedName>
    <definedName name="_xlnm.Print_Titles" localSheetId="5">'ACTIVITY (2)'!$1:$1</definedName>
  </definedNames>
  <calcPr calcId="171027"/>
</workbook>
</file>

<file path=xl/calcChain.xml><?xml version="1.0" encoding="utf-8"?>
<calcChain xmlns="http://schemas.openxmlformats.org/spreadsheetml/2006/main">
  <c r="E5" i="22" l="1"/>
  <c r="E12" i="22"/>
  <c r="E15" i="22"/>
  <c r="E11" i="22"/>
  <c r="E7" i="22"/>
  <c r="E3" i="22"/>
  <c r="E4" i="22"/>
  <c r="E6" i="22"/>
  <c r="E8" i="22"/>
  <c r="E9" i="22"/>
  <c r="E10" i="22"/>
  <c r="E13" i="22"/>
  <c r="E14" i="22"/>
  <c r="E16" i="22"/>
  <c r="E17" i="22"/>
  <c r="E18" i="22"/>
  <c r="E2" i="22"/>
  <c r="I7" i="18" l="1"/>
  <c r="I8" i="18"/>
  <c r="I9" i="18"/>
  <c r="Q1288" i="24"/>
  <c r="S1288" i="24" s="1"/>
  <c r="U1288" i="24" s="1"/>
  <c r="Q1287" i="24"/>
  <c r="S1287" i="24" s="1"/>
  <c r="U1287" i="24" s="1"/>
  <c r="S1286" i="24"/>
  <c r="U1286" i="24" s="1"/>
  <c r="Q1286" i="24"/>
  <c r="Q1284" i="24"/>
  <c r="S1284" i="24" s="1"/>
  <c r="U1284" i="24" s="1"/>
  <c r="Q1282" i="24"/>
  <c r="S1282" i="24" s="1"/>
  <c r="U1282" i="24" s="1"/>
  <c r="Q1281" i="24"/>
  <c r="S1281" i="24" s="1"/>
  <c r="U1281" i="24" s="1"/>
  <c r="S1280" i="24"/>
  <c r="U1280" i="24" s="1"/>
  <c r="Q1280" i="24"/>
  <c r="U1279" i="24"/>
  <c r="S1279" i="24"/>
  <c r="Q1279" i="24"/>
  <c r="Q1278" i="24"/>
  <c r="S1278" i="24" s="1"/>
  <c r="U1278" i="24" s="1"/>
  <c r="U1276" i="24"/>
  <c r="S1276" i="24"/>
  <c r="Q1276" i="24"/>
  <c r="Q1275" i="24"/>
  <c r="S1275" i="24" s="1"/>
  <c r="U1275" i="24" s="1"/>
  <c r="Q1274" i="24"/>
  <c r="S1274" i="24" s="1"/>
  <c r="U1274" i="24" s="1"/>
  <c r="S1273" i="24"/>
  <c r="U1273" i="24" s="1"/>
  <c r="Q1273" i="24"/>
  <c r="U1272" i="24"/>
  <c r="S1272" i="24"/>
  <c r="Q1272" i="24"/>
  <c r="Q1271" i="24"/>
  <c r="S1271" i="24" s="1"/>
  <c r="U1271" i="24" s="1"/>
  <c r="S1269" i="24"/>
  <c r="U1269" i="24" s="1"/>
  <c r="Q1269" i="24"/>
  <c r="Q1268" i="24"/>
  <c r="S1268" i="24" s="1"/>
  <c r="U1268" i="24" s="1"/>
  <c r="J1268" i="24"/>
  <c r="J1269" i="24" s="1"/>
  <c r="S1267" i="24"/>
  <c r="U1267" i="24" s="1"/>
  <c r="Q1267" i="24"/>
  <c r="Q1264" i="24"/>
  <c r="S1264" i="24" s="1"/>
  <c r="U1264" i="24" s="1"/>
  <c r="Q1263" i="24"/>
  <c r="S1263" i="24" s="1"/>
  <c r="U1263" i="24" s="1"/>
  <c r="O1263" i="24"/>
  <c r="M1263" i="24"/>
  <c r="Q1262" i="24"/>
  <c r="S1262" i="24" s="1"/>
  <c r="U1262" i="24" s="1"/>
  <c r="Q1261" i="24"/>
  <c r="S1261" i="24" s="1"/>
  <c r="U1261" i="24" s="1"/>
  <c r="O1261" i="24"/>
  <c r="M1261" i="24"/>
  <c r="S1259" i="24"/>
  <c r="U1259" i="24" s="1"/>
  <c r="Q1259" i="24"/>
  <c r="O1258" i="24"/>
  <c r="M1258" i="24"/>
  <c r="Q1258" i="24" s="1"/>
  <c r="S1258" i="24" s="1"/>
  <c r="U1258" i="24" s="1"/>
  <c r="S1257" i="24"/>
  <c r="U1257" i="24" s="1"/>
  <c r="Q1257" i="24"/>
  <c r="O1256" i="24"/>
  <c r="M1256" i="24"/>
  <c r="Q1256" i="24" s="1"/>
  <c r="S1256" i="24" s="1"/>
  <c r="U1256" i="24" s="1"/>
  <c r="Q1254" i="24"/>
  <c r="S1254" i="24" s="1"/>
  <c r="U1254" i="24" s="1"/>
  <c r="Q1253" i="24"/>
  <c r="S1253" i="24" s="1"/>
  <c r="U1253" i="24" s="1"/>
  <c r="S1252" i="24"/>
  <c r="U1252" i="24" s="1"/>
  <c r="Q1252" i="24"/>
  <c r="Q1250" i="24"/>
  <c r="S1250" i="24" s="1"/>
  <c r="U1250" i="24" s="1"/>
  <c r="O1250" i="24"/>
  <c r="M1250" i="24"/>
  <c r="O1249" i="24"/>
  <c r="M1249" i="24"/>
  <c r="O1248" i="24"/>
  <c r="M1248" i="24"/>
  <c r="Q1248" i="24" s="1"/>
  <c r="S1248" i="24" s="1"/>
  <c r="U1248" i="24" s="1"/>
  <c r="S1247" i="24"/>
  <c r="U1247" i="24" s="1"/>
  <c r="Q1247" i="24"/>
  <c r="O1247" i="24"/>
  <c r="M1247" i="24"/>
  <c r="U1245" i="24"/>
  <c r="S1245" i="24"/>
  <c r="Q1245" i="24"/>
  <c r="O1245" i="24"/>
  <c r="Q1244" i="24"/>
  <c r="S1244" i="24" s="1"/>
  <c r="U1244" i="24" s="1"/>
  <c r="S1243" i="24"/>
  <c r="U1243" i="24" s="1"/>
  <c r="Q1243" i="24"/>
  <c r="Q1241" i="24"/>
  <c r="S1241" i="24" s="1"/>
  <c r="U1241" i="24" s="1"/>
  <c r="O1241" i="24"/>
  <c r="J1241" i="24"/>
  <c r="M1241" i="24" s="1"/>
  <c r="Q1240" i="24"/>
  <c r="S1240" i="24" s="1"/>
  <c r="U1240" i="24" s="1"/>
  <c r="M1240" i="24"/>
  <c r="U1239" i="24"/>
  <c r="S1239" i="24"/>
  <c r="Q1239" i="24"/>
  <c r="Q1237" i="24"/>
  <c r="S1237" i="24" s="1"/>
  <c r="U1237" i="24" s="1"/>
  <c r="O1237" i="24"/>
  <c r="M1237" i="24"/>
  <c r="J1237" i="24"/>
  <c r="S1236" i="24"/>
  <c r="U1236" i="24" s="1"/>
  <c r="Q1236" i="24"/>
  <c r="M1236" i="24"/>
  <c r="O1235" i="24"/>
  <c r="M1235" i="24"/>
  <c r="Q1233" i="24"/>
  <c r="S1233" i="24" s="1"/>
  <c r="U1233" i="24" s="1"/>
  <c r="S1232" i="24"/>
  <c r="U1232" i="24" s="1"/>
  <c r="Q1232" i="24"/>
  <c r="S1229" i="24"/>
  <c r="U1229" i="24" s="1"/>
  <c r="Q1229" i="24"/>
  <c r="Q1228" i="24"/>
  <c r="S1228" i="24" s="1"/>
  <c r="U1228" i="24" s="1"/>
  <c r="Q1227" i="24"/>
  <c r="S1227" i="24" s="1"/>
  <c r="U1227" i="24" s="1"/>
  <c r="U1226" i="24"/>
  <c r="Q1226" i="24"/>
  <c r="S1226" i="24" s="1"/>
  <c r="S1225" i="24"/>
  <c r="U1225" i="24" s="1"/>
  <c r="Q1225" i="24"/>
  <c r="S1223" i="24"/>
  <c r="U1223" i="24" s="1"/>
  <c r="Q1223" i="24"/>
  <c r="Q1222" i="24"/>
  <c r="S1222" i="24" s="1"/>
  <c r="U1222" i="24" s="1"/>
  <c r="J1222" i="24"/>
  <c r="J1223" i="24" s="1"/>
  <c r="Q1221" i="24"/>
  <c r="S1221" i="24" s="1"/>
  <c r="U1221" i="24" s="1"/>
  <c r="O1221" i="24"/>
  <c r="M1221" i="24"/>
  <c r="Q1220" i="24"/>
  <c r="S1220" i="24" s="1"/>
  <c r="U1220" i="24" s="1"/>
  <c r="O1219" i="24"/>
  <c r="I1217" i="24"/>
  <c r="O1217" i="24" s="1"/>
  <c r="Q1217" i="24" s="1"/>
  <c r="S1217" i="24" s="1"/>
  <c r="U1217" i="24" s="1"/>
  <c r="O1215" i="24"/>
  <c r="M1213" i="24"/>
  <c r="J1213" i="24"/>
  <c r="J1215" i="24" s="1"/>
  <c r="J1217" i="24" s="1"/>
  <c r="M1217" i="24" s="1"/>
  <c r="Q1212" i="24"/>
  <c r="S1212" i="24" s="1"/>
  <c r="U1212" i="24" s="1"/>
  <c r="J1212" i="24"/>
  <c r="I1212" i="24"/>
  <c r="S1210" i="24"/>
  <c r="U1210" i="24" s="1"/>
  <c r="Q1210" i="24"/>
  <c r="J1210" i="24"/>
  <c r="I1210" i="24"/>
  <c r="I1213" i="24" s="1"/>
  <c r="O1213" i="24" s="1"/>
  <c r="S1209" i="24"/>
  <c r="U1209" i="24" s="1"/>
  <c r="Q1209" i="24"/>
  <c r="J1209" i="24"/>
  <c r="S1207" i="24"/>
  <c r="U1207" i="24" s="1"/>
  <c r="O1207" i="24"/>
  <c r="M1207" i="24"/>
  <c r="Q1207" i="24" s="1"/>
  <c r="I1207" i="24"/>
  <c r="I1209" i="24" s="1"/>
  <c r="O1206" i="24"/>
  <c r="M1206" i="24"/>
  <c r="Q1206" i="24" s="1"/>
  <c r="S1206" i="24" s="1"/>
  <c r="U1206" i="24" s="1"/>
  <c r="Q1205" i="24"/>
  <c r="S1205" i="24" s="1"/>
  <c r="U1205" i="24" s="1"/>
  <c r="O1204" i="24"/>
  <c r="M1204" i="24"/>
  <c r="S1203" i="24"/>
  <c r="U1203" i="24" s="1"/>
  <c r="Q1203" i="24"/>
  <c r="F1202" i="24"/>
  <c r="U1200" i="24"/>
  <c r="S1200" i="24"/>
  <c r="Q1200" i="24"/>
  <c r="J1200" i="24"/>
  <c r="S1199" i="24"/>
  <c r="U1199" i="24" s="1"/>
  <c r="O1199" i="24"/>
  <c r="Q1199" i="24" s="1"/>
  <c r="O1197" i="24"/>
  <c r="O1196" i="24"/>
  <c r="U1195" i="24"/>
  <c r="Q1195" i="24"/>
  <c r="S1195" i="24" s="1"/>
  <c r="O1194" i="24"/>
  <c r="M1194" i="24"/>
  <c r="Q1194" i="24" s="1"/>
  <c r="S1194" i="24" s="1"/>
  <c r="U1194" i="24" s="1"/>
  <c r="J1194" i="24"/>
  <c r="J1195" i="24" s="1"/>
  <c r="J1196" i="24" s="1"/>
  <c r="U1193" i="24"/>
  <c r="O1193" i="24"/>
  <c r="Q1193" i="24" s="1"/>
  <c r="S1193" i="24" s="1"/>
  <c r="M1193" i="24"/>
  <c r="S1192" i="24"/>
  <c r="U1192" i="24" s="1"/>
  <c r="Q1192" i="24"/>
  <c r="J1192" i="24"/>
  <c r="U1190" i="24"/>
  <c r="S1190" i="24"/>
  <c r="Q1190" i="24"/>
  <c r="J1190" i="24"/>
  <c r="J1199" i="24" s="1"/>
  <c r="S1189" i="24"/>
  <c r="U1189" i="24" s="1"/>
  <c r="Q1189" i="24"/>
  <c r="J1189" i="24"/>
  <c r="S1187" i="24"/>
  <c r="U1187" i="24" s="1"/>
  <c r="O1187" i="24"/>
  <c r="Q1187" i="24" s="1"/>
  <c r="J1187" i="24"/>
  <c r="O1186" i="24"/>
  <c r="Q1186" i="24" s="1"/>
  <c r="S1186" i="24" s="1"/>
  <c r="U1186" i="24" s="1"/>
  <c r="U1184" i="24"/>
  <c r="Q1184" i="24"/>
  <c r="S1184" i="24" s="1"/>
  <c r="S1183" i="24"/>
  <c r="U1183" i="24" s="1"/>
  <c r="Q1183" i="24"/>
  <c r="Q1181" i="24"/>
  <c r="S1181" i="24" s="1"/>
  <c r="U1181" i="24" s="1"/>
  <c r="Q1180" i="24"/>
  <c r="S1180" i="24" s="1"/>
  <c r="U1180" i="24" s="1"/>
  <c r="U1178" i="24"/>
  <c r="Q1178" i="24"/>
  <c r="S1178" i="24" s="1"/>
  <c r="Q1177" i="24"/>
  <c r="S1177" i="24" s="1"/>
  <c r="U1177" i="24" s="1"/>
  <c r="Q1175" i="24"/>
  <c r="S1175" i="24" s="1"/>
  <c r="U1175" i="24" s="1"/>
  <c r="L1175" i="24"/>
  <c r="K1175" i="24"/>
  <c r="I1175" i="24"/>
  <c r="O1173" i="24"/>
  <c r="O1172" i="24"/>
  <c r="O1171" i="24"/>
  <c r="O1170" i="24"/>
  <c r="S1169" i="24"/>
  <c r="U1169" i="24" s="1"/>
  <c r="Q1169" i="24"/>
  <c r="O1165" i="24"/>
  <c r="O1164" i="24"/>
  <c r="Q1163" i="24"/>
  <c r="O1162" i="24"/>
  <c r="O1161" i="24"/>
  <c r="O1160" i="24"/>
  <c r="O1159" i="24"/>
  <c r="Q1158" i="24"/>
  <c r="S1158" i="24" s="1"/>
  <c r="U1158" i="24" s="1"/>
  <c r="O1155" i="24"/>
  <c r="O1154" i="24"/>
  <c r="M1152" i="24"/>
  <c r="Q1152" i="24" s="1"/>
  <c r="S1152" i="24" s="1"/>
  <c r="U1152" i="24" s="1"/>
  <c r="L1152" i="24"/>
  <c r="K1152" i="24"/>
  <c r="I1152" i="24"/>
  <c r="S1150" i="24"/>
  <c r="U1150" i="24" s="1"/>
  <c r="Q1150" i="24"/>
  <c r="O1149" i="24"/>
  <c r="O1148" i="24"/>
  <c r="O1147" i="24"/>
  <c r="O1146" i="24"/>
  <c r="S1145" i="24"/>
  <c r="U1145" i="24" s="1"/>
  <c r="Q1145" i="24"/>
  <c r="U1140" i="24"/>
  <c r="Q1140" i="24"/>
  <c r="S1140" i="24" s="1"/>
  <c r="J1139" i="24"/>
  <c r="M1138" i="24"/>
  <c r="J1138" i="24"/>
  <c r="I1138" i="24"/>
  <c r="I1139" i="24" s="1"/>
  <c r="O1139" i="24" s="1"/>
  <c r="S1137" i="24"/>
  <c r="U1137" i="24" s="1"/>
  <c r="Q1137" i="24"/>
  <c r="I1137" i="24"/>
  <c r="O1135" i="24"/>
  <c r="O1134" i="24"/>
  <c r="O1133" i="24"/>
  <c r="O1132" i="24"/>
  <c r="J1132" i="24"/>
  <c r="Q1131" i="24"/>
  <c r="S1131" i="24" s="1"/>
  <c r="U1131" i="24" s="1"/>
  <c r="O1131" i="24"/>
  <c r="M1131" i="24"/>
  <c r="O1130" i="24"/>
  <c r="M1130" i="24"/>
  <c r="Q1130" i="24" s="1"/>
  <c r="S1130" i="24" s="1"/>
  <c r="U1130" i="24" s="1"/>
  <c r="U1129" i="24"/>
  <c r="S1129" i="24"/>
  <c r="Q1129" i="24"/>
  <c r="S1127" i="24"/>
  <c r="U1127" i="24" s="1"/>
  <c r="Q1127" i="24"/>
  <c r="S1126" i="24"/>
  <c r="U1126" i="24" s="1"/>
  <c r="Q1126" i="24"/>
  <c r="O1124" i="24"/>
  <c r="M1124" i="24"/>
  <c r="Q1124" i="24" s="1"/>
  <c r="S1124" i="24" s="1"/>
  <c r="U1124" i="24" s="1"/>
  <c r="S1123" i="24"/>
  <c r="U1123" i="24" s="1"/>
  <c r="Q1123" i="24"/>
  <c r="S1122" i="24"/>
  <c r="U1122" i="24" s="1"/>
  <c r="Q1122" i="24"/>
  <c r="S1120" i="24"/>
  <c r="U1120" i="24" s="1"/>
  <c r="Q1120" i="24"/>
  <c r="O1120" i="24"/>
  <c r="M1120" i="24"/>
  <c r="Q1119" i="24"/>
  <c r="S1119" i="24" s="1"/>
  <c r="U1119" i="24" s="1"/>
  <c r="O1119" i="24"/>
  <c r="M1119" i="24"/>
  <c r="S1117" i="24"/>
  <c r="U1117" i="24" s="1"/>
  <c r="Q1117" i="24"/>
  <c r="U1116" i="24"/>
  <c r="S1116" i="24"/>
  <c r="Q1116" i="24"/>
  <c r="M1116" i="24"/>
  <c r="U1114" i="24"/>
  <c r="S1114" i="24"/>
  <c r="Q1114" i="24"/>
  <c r="M1114" i="24"/>
  <c r="O1113" i="24"/>
  <c r="M1113" i="24"/>
  <c r="S1112" i="24"/>
  <c r="U1112" i="24" s="1"/>
  <c r="O1112" i="24"/>
  <c r="Q1112" i="24" s="1"/>
  <c r="S1111" i="24"/>
  <c r="U1111" i="24" s="1"/>
  <c r="Q1111" i="24"/>
  <c r="O1111" i="24"/>
  <c r="M1111" i="24"/>
  <c r="O1110" i="24"/>
  <c r="M1110" i="24"/>
  <c r="Q1110" i="24" s="1"/>
  <c r="S1110" i="24" s="1"/>
  <c r="U1110" i="24" s="1"/>
  <c r="S1109" i="24"/>
  <c r="U1109" i="24" s="1"/>
  <c r="Q1109" i="24"/>
  <c r="U1108" i="24"/>
  <c r="Q1108" i="24"/>
  <c r="S1108" i="24" s="1"/>
  <c r="O1108" i="24"/>
  <c r="M1108" i="24"/>
  <c r="O1107" i="24"/>
  <c r="M1107" i="24"/>
  <c r="Q1107" i="24" s="1"/>
  <c r="S1107" i="24" s="1"/>
  <c r="U1107" i="24" s="1"/>
  <c r="Q1106" i="24"/>
  <c r="S1106" i="24" s="1"/>
  <c r="U1106" i="24" s="1"/>
  <c r="S1104" i="24"/>
  <c r="U1104" i="24" s="1"/>
  <c r="Q1104" i="24"/>
  <c r="S1103" i="24"/>
  <c r="U1103" i="24" s="1"/>
  <c r="Q1103" i="24"/>
  <c r="L1101" i="24"/>
  <c r="K1101" i="24"/>
  <c r="J1101" i="24"/>
  <c r="I1101" i="24"/>
  <c r="U1100" i="24"/>
  <c r="O1100" i="24"/>
  <c r="M1100" i="24"/>
  <c r="Q1100" i="24" s="1"/>
  <c r="S1100" i="24" s="1"/>
  <c r="O1099" i="24"/>
  <c r="M1099" i="24"/>
  <c r="M1101" i="24" s="1"/>
  <c r="Q1101" i="24" s="1"/>
  <c r="S1101" i="24" s="1"/>
  <c r="U1101" i="24" s="1"/>
  <c r="Q1098" i="24"/>
  <c r="S1098" i="24" s="1"/>
  <c r="U1098" i="24" s="1"/>
  <c r="O1097" i="24"/>
  <c r="M1097" i="24"/>
  <c r="Q1097" i="24" s="1"/>
  <c r="S1097" i="24" s="1"/>
  <c r="U1097" i="24" s="1"/>
  <c r="Q1096" i="24"/>
  <c r="S1096" i="24" s="1"/>
  <c r="U1096" i="24" s="1"/>
  <c r="O1096" i="24"/>
  <c r="M1096" i="24"/>
  <c r="S1095" i="24"/>
  <c r="U1095" i="24" s="1"/>
  <c r="Q1095" i="24"/>
  <c r="O1095" i="24"/>
  <c r="U1094" i="24"/>
  <c r="S1094" i="24"/>
  <c r="Q1094" i="24"/>
  <c r="O1094" i="24"/>
  <c r="U1093" i="24"/>
  <c r="S1093" i="24"/>
  <c r="Q1093" i="24"/>
  <c r="Q1092" i="24"/>
  <c r="O1091" i="24"/>
  <c r="Q1091" i="24" s="1"/>
  <c r="S1091" i="24" s="1"/>
  <c r="U1091" i="24" s="1"/>
  <c r="S1090" i="24"/>
  <c r="U1090" i="24" s="1"/>
  <c r="Q1090" i="24"/>
  <c r="O1090" i="24"/>
  <c r="S1088" i="24"/>
  <c r="U1088" i="24" s="1"/>
  <c r="Q1088" i="24"/>
  <c r="O1088" i="24"/>
  <c r="J1088" i="24"/>
  <c r="Q1087" i="24"/>
  <c r="S1087" i="24" s="1"/>
  <c r="U1087" i="24" s="1"/>
  <c r="O1087" i="24"/>
  <c r="J1087" i="24"/>
  <c r="S1085" i="24"/>
  <c r="U1085" i="24" s="1"/>
  <c r="Q1085" i="24"/>
  <c r="O1085" i="24"/>
  <c r="O1084" i="24"/>
  <c r="Q1084" i="24" s="1"/>
  <c r="S1084" i="24" s="1"/>
  <c r="U1084" i="24" s="1"/>
  <c r="U1082" i="24"/>
  <c r="S1082" i="24"/>
  <c r="Q1082" i="24"/>
  <c r="S1081" i="24"/>
  <c r="U1081" i="24" s="1"/>
  <c r="Q1081" i="24"/>
  <c r="S1079" i="24"/>
  <c r="U1079" i="24" s="1"/>
  <c r="Q1079" i="24"/>
  <c r="O1077" i="24"/>
  <c r="O1076" i="24"/>
  <c r="O1075" i="24"/>
  <c r="O1074" i="24"/>
  <c r="S1073" i="24"/>
  <c r="U1073" i="24" s="1"/>
  <c r="Q1073" i="24"/>
  <c r="I1070" i="24"/>
  <c r="I1069" i="24"/>
  <c r="O1069" i="24" s="1"/>
  <c r="I1068" i="24"/>
  <c r="O1068" i="24" s="1"/>
  <c r="O1066" i="24"/>
  <c r="O1065" i="24"/>
  <c r="O1064" i="24"/>
  <c r="O1063" i="24"/>
  <c r="Q1062" i="24"/>
  <c r="S1062" i="24" s="1"/>
  <c r="U1062" i="24" s="1"/>
  <c r="Q1060" i="24"/>
  <c r="S1060" i="24" s="1"/>
  <c r="U1060" i="24" s="1"/>
  <c r="O1059" i="24"/>
  <c r="J1059" i="24"/>
  <c r="M1058" i="24"/>
  <c r="I1058" i="24"/>
  <c r="O1058" i="24" s="1"/>
  <c r="Q1056" i="24"/>
  <c r="S1056" i="24" s="1"/>
  <c r="U1056" i="24" s="1"/>
  <c r="Q1054" i="24"/>
  <c r="S1054" i="24" s="1"/>
  <c r="U1054" i="24" s="1"/>
  <c r="O1053" i="24"/>
  <c r="O1052" i="24"/>
  <c r="O1051" i="24"/>
  <c r="O1050" i="24"/>
  <c r="U1049" i="24"/>
  <c r="S1049" i="24"/>
  <c r="Q1049" i="24"/>
  <c r="O1047" i="24"/>
  <c r="O1046" i="24"/>
  <c r="Q1044" i="24"/>
  <c r="S1044" i="24" s="1"/>
  <c r="U1044" i="24" s="1"/>
  <c r="Q1041" i="24"/>
  <c r="S1041" i="24" s="1"/>
  <c r="U1041" i="24" s="1"/>
  <c r="O1037" i="24"/>
  <c r="J1036" i="24"/>
  <c r="I1036" i="24"/>
  <c r="I1037" i="24" s="1"/>
  <c r="I1038" i="24" s="1"/>
  <c r="O1035" i="24"/>
  <c r="M1035" i="24"/>
  <c r="Q1035" i="24" s="1"/>
  <c r="S1035" i="24" s="1"/>
  <c r="U1035" i="24" s="1"/>
  <c r="Q1034" i="24"/>
  <c r="S1034" i="24" s="1"/>
  <c r="U1034" i="24" s="1"/>
  <c r="U1031" i="24"/>
  <c r="S1031" i="24"/>
  <c r="Q1031" i="24"/>
  <c r="M1031" i="24"/>
  <c r="L1031" i="24"/>
  <c r="K1031" i="24"/>
  <c r="J1031" i="24"/>
  <c r="U1030" i="24"/>
  <c r="S1030" i="24"/>
  <c r="Q1030" i="24"/>
  <c r="O1028" i="24"/>
  <c r="Q1028" i="24" s="1"/>
  <c r="S1028" i="24" s="1"/>
  <c r="U1028" i="24" s="1"/>
  <c r="M1028" i="24"/>
  <c r="U1027" i="24"/>
  <c r="Q1027" i="24"/>
  <c r="S1027" i="24" s="1"/>
  <c r="S1026" i="24"/>
  <c r="U1026" i="24" s="1"/>
  <c r="Q1026" i="24"/>
  <c r="U1024" i="24"/>
  <c r="Q1024" i="24"/>
  <c r="S1024" i="24" s="1"/>
  <c r="O1023" i="24"/>
  <c r="Q1023" i="24" s="1"/>
  <c r="S1023" i="24" s="1"/>
  <c r="U1023" i="24" s="1"/>
  <c r="M1023" i="24"/>
  <c r="Q1022" i="24"/>
  <c r="S1022" i="24" s="1"/>
  <c r="U1022" i="24" s="1"/>
  <c r="M1022" i="24"/>
  <c r="U1021" i="24"/>
  <c r="S1021" i="24"/>
  <c r="M1021" i="24"/>
  <c r="Q1021" i="24" s="1"/>
  <c r="J1021" i="24"/>
  <c r="J1022" i="24" s="1"/>
  <c r="O1020" i="24"/>
  <c r="M1020" i="24"/>
  <c r="Q1020" i="24" s="1"/>
  <c r="S1020" i="24" s="1"/>
  <c r="U1020" i="24" s="1"/>
  <c r="J1020" i="24"/>
  <c r="U1019" i="24"/>
  <c r="S1019" i="24"/>
  <c r="Q1019" i="24"/>
  <c r="M1019" i="24"/>
  <c r="O1017" i="24"/>
  <c r="O1016" i="24"/>
  <c r="O1015" i="24"/>
  <c r="O1013" i="24"/>
  <c r="O1012" i="24"/>
  <c r="O1011" i="24"/>
  <c r="S1010" i="24"/>
  <c r="U1010" i="24" s="1"/>
  <c r="Q1010" i="24"/>
  <c r="U1008" i="24"/>
  <c r="Q1008" i="24"/>
  <c r="S1008" i="24" s="1"/>
  <c r="S1007" i="24"/>
  <c r="U1007" i="24" s="1"/>
  <c r="Q1007" i="24"/>
  <c r="U1006" i="24"/>
  <c r="S1006" i="24"/>
  <c r="Q1006" i="24"/>
  <c r="Q1004" i="24"/>
  <c r="S1004" i="24" s="1"/>
  <c r="U1004" i="24" s="1"/>
  <c r="Q1003" i="24"/>
  <c r="S1003" i="24" s="1"/>
  <c r="U1003" i="24" s="1"/>
  <c r="O1003" i="24"/>
  <c r="Q1002" i="24"/>
  <c r="S1002" i="24" s="1"/>
  <c r="U1002" i="24" s="1"/>
  <c r="O1002" i="24"/>
  <c r="U1000" i="24"/>
  <c r="Q1000" i="24"/>
  <c r="S1000" i="24" s="1"/>
  <c r="O999" i="24"/>
  <c r="O998" i="24"/>
  <c r="U996" i="24"/>
  <c r="S996" i="24"/>
  <c r="Q996" i="24"/>
  <c r="O995" i="24"/>
  <c r="J995" i="24"/>
  <c r="M995" i="24" s="1"/>
  <c r="Q995" i="24" s="1"/>
  <c r="S995" i="24" s="1"/>
  <c r="U995" i="24" s="1"/>
  <c r="Q994" i="24"/>
  <c r="S994" i="24" s="1"/>
  <c r="U994" i="24" s="1"/>
  <c r="O994" i="24"/>
  <c r="M994" i="24"/>
  <c r="S992" i="24"/>
  <c r="U992" i="24" s="1"/>
  <c r="Q992" i="24"/>
  <c r="Q991" i="24"/>
  <c r="S991" i="24" s="1"/>
  <c r="U991" i="24" s="1"/>
  <c r="S990" i="24"/>
  <c r="U990" i="24" s="1"/>
  <c r="Q990" i="24"/>
  <c r="O988" i="24"/>
  <c r="O987" i="24"/>
  <c r="O986" i="24"/>
  <c r="O985" i="24"/>
  <c r="S984" i="24"/>
  <c r="U984" i="24" s="1"/>
  <c r="Q984" i="24"/>
  <c r="O981" i="24"/>
  <c r="O979" i="24"/>
  <c r="O978" i="24"/>
  <c r="O977" i="24"/>
  <c r="O976" i="24"/>
  <c r="S975" i="24"/>
  <c r="U975" i="24" s="1"/>
  <c r="Q975" i="24"/>
  <c r="O972" i="24"/>
  <c r="O970" i="24"/>
  <c r="O969" i="24"/>
  <c r="Q968" i="24"/>
  <c r="S968" i="24" s="1"/>
  <c r="U968" i="24" s="1"/>
  <c r="O966" i="24"/>
  <c r="O965" i="24"/>
  <c r="O964" i="24"/>
  <c r="I964" i="24"/>
  <c r="I963" i="24"/>
  <c r="O963" i="24" s="1"/>
  <c r="S962" i="24"/>
  <c r="U962" i="24" s="1"/>
  <c r="Q962" i="24"/>
  <c r="O959" i="24"/>
  <c r="O957" i="24"/>
  <c r="O956" i="24"/>
  <c r="O955" i="24"/>
  <c r="I955" i="24"/>
  <c r="O954" i="24"/>
  <c r="I954" i="24"/>
  <c r="Q953" i="24"/>
  <c r="S953" i="24" s="1"/>
  <c r="U953" i="24" s="1"/>
  <c r="Q952" i="24"/>
  <c r="O950" i="24"/>
  <c r="O948" i="24"/>
  <c r="O947" i="24"/>
  <c r="O946" i="24"/>
  <c r="I946" i="24"/>
  <c r="O945" i="24"/>
  <c r="I945" i="24"/>
  <c r="Q944" i="24"/>
  <c r="S944" i="24" s="1"/>
  <c r="U944" i="24" s="1"/>
  <c r="O941" i="24"/>
  <c r="S939" i="24"/>
  <c r="U939" i="24" s="1"/>
  <c r="Q939" i="24"/>
  <c r="O939" i="24"/>
  <c r="M939" i="24"/>
  <c r="O938" i="24"/>
  <c r="O937" i="24"/>
  <c r="J937" i="24"/>
  <c r="M937" i="24" s="1"/>
  <c r="Q937" i="24" s="1"/>
  <c r="S937" i="24" s="1"/>
  <c r="U937" i="24" s="1"/>
  <c r="O936" i="24"/>
  <c r="Q936" i="24" s="1"/>
  <c r="S936" i="24" s="1"/>
  <c r="U936" i="24" s="1"/>
  <c r="M936" i="24"/>
  <c r="M934" i="24"/>
  <c r="M933" i="24"/>
  <c r="O932" i="24"/>
  <c r="O933" i="24" s="1"/>
  <c r="O934" i="24" s="1"/>
  <c r="Q934" i="24" s="1"/>
  <c r="S934" i="24" s="1"/>
  <c r="U934" i="24" s="1"/>
  <c r="M932" i="24"/>
  <c r="Q931" i="24"/>
  <c r="S931" i="24" s="1"/>
  <c r="U931" i="24" s="1"/>
  <c r="M931" i="24"/>
  <c r="Q930" i="24"/>
  <c r="O928" i="24"/>
  <c r="Q928" i="24" s="1"/>
  <c r="S928" i="24" s="1"/>
  <c r="U928" i="24" s="1"/>
  <c r="P927" i="24"/>
  <c r="P928" i="24" s="1"/>
  <c r="P929" i="24" s="1"/>
  <c r="O927" i="24"/>
  <c r="Q927" i="24" s="1"/>
  <c r="S927" i="24" s="1"/>
  <c r="U927" i="24" s="1"/>
  <c r="Q926" i="24"/>
  <c r="S926" i="24" s="1"/>
  <c r="U926" i="24" s="1"/>
  <c r="I921" i="24"/>
  <c r="O921" i="24" s="1"/>
  <c r="I918" i="24"/>
  <c r="O918" i="24" s="1"/>
  <c r="I917" i="24"/>
  <c r="O917" i="24" s="1"/>
  <c r="O916" i="24"/>
  <c r="O914" i="24"/>
  <c r="O913" i="24"/>
  <c r="O912" i="24"/>
  <c r="O911" i="24"/>
  <c r="I907" i="24"/>
  <c r="O907" i="24" s="1"/>
  <c r="O906" i="24"/>
  <c r="Q895" i="24"/>
  <c r="Q890" i="24"/>
  <c r="M889" i="24"/>
  <c r="M888" i="24"/>
  <c r="S887" i="24"/>
  <c r="U887" i="24" s="1"/>
  <c r="Q887" i="24"/>
  <c r="O887" i="24"/>
  <c r="O888" i="24" s="1"/>
  <c r="Q888" i="24" s="1"/>
  <c r="S888" i="24" s="1"/>
  <c r="U888" i="24" s="1"/>
  <c r="M887" i="24"/>
  <c r="Q886" i="24"/>
  <c r="S886" i="24" s="1"/>
  <c r="U886" i="24" s="1"/>
  <c r="M886" i="24"/>
  <c r="J878" i="24"/>
  <c r="J883" i="24" s="1"/>
  <c r="Q874" i="24"/>
  <c r="J874" i="24"/>
  <c r="J879" i="24" s="1"/>
  <c r="J884" i="24" s="1"/>
  <c r="U873" i="24"/>
  <c r="Q873" i="24"/>
  <c r="S873" i="24" s="1"/>
  <c r="K873" i="24"/>
  <c r="S872" i="24"/>
  <c r="U872" i="24" s="1"/>
  <c r="Q872" i="24"/>
  <c r="N872" i="24"/>
  <c r="N873" i="24" s="1"/>
  <c r="N874" i="24" s="1"/>
  <c r="Q871" i="24"/>
  <c r="S871" i="24" s="1"/>
  <c r="U871" i="24" s="1"/>
  <c r="M869" i="24"/>
  <c r="K869" i="24"/>
  <c r="J869" i="24"/>
  <c r="M868" i="24"/>
  <c r="K868" i="24"/>
  <c r="J868" i="24"/>
  <c r="J873" i="24" s="1"/>
  <c r="K867" i="24"/>
  <c r="K872" i="24" s="1"/>
  <c r="J867" i="24"/>
  <c r="J872" i="24" s="1"/>
  <c r="J877" i="24" s="1"/>
  <c r="J882" i="24" s="1"/>
  <c r="K866" i="24"/>
  <c r="K871" i="24" s="1"/>
  <c r="J866" i="24"/>
  <c r="J871" i="24" s="1"/>
  <c r="J876" i="24" s="1"/>
  <c r="J881" i="24" s="1"/>
  <c r="M864" i="24"/>
  <c r="M863" i="24"/>
  <c r="M862" i="24"/>
  <c r="I862" i="24"/>
  <c r="I863" i="24" s="1"/>
  <c r="Q861" i="24"/>
  <c r="S861" i="24" s="1"/>
  <c r="U861" i="24" s="1"/>
  <c r="O861" i="24"/>
  <c r="M861" i="24"/>
  <c r="O859" i="24"/>
  <c r="M859" i="24"/>
  <c r="Q859" i="24" s="1"/>
  <c r="S859" i="24" s="1"/>
  <c r="U859" i="24" s="1"/>
  <c r="Q857" i="24"/>
  <c r="S857" i="24" s="1"/>
  <c r="U857" i="24" s="1"/>
  <c r="O857" i="24"/>
  <c r="M857" i="24"/>
  <c r="Q856" i="24"/>
  <c r="S856" i="24" s="1"/>
  <c r="U856" i="24" s="1"/>
  <c r="I853" i="24"/>
  <c r="K852" i="24"/>
  <c r="K853" i="24" s="1"/>
  <c r="M853" i="24" s="1"/>
  <c r="Q853" i="24" s="1"/>
  <c r="S853" i="24" s="1"/>
  <c r="U853" i="24" s="1"/>
  <c r="J852" i="24"/>
  <c r="J853" i="24" s="1"/>
  <c r="I852" i="24"/>
  <c r="M851" i="24"/>
  <c r="Q851" i="24" s="1"/>
  <c r="S851" i="24" s="1"/>
  <c r="U851" i="24" s="1"/>
  <c r="Q850" i="24"/>
  <c r="S850" i="24" s="1"/>
  <c r="U850" i="24" s="1"/>
  <c r="Q848" i="24"/>
  <c r="S848" i="24" s="1"/>
  <c r="U848" i="24" s="1"/>
  <c r="Q847" i="24"/>
  <c r="S847" i="24" s="1"/>
  <c r="U847" i="24" s="1"/>
  <c r="Q846" i="24"/>
  <c r="S846" i="24" s="1"/>
  <c r="U846" i="24" s="1"/>
  <c r="I845" i="24"/>
  <c r="I846" i="24" s="1"/>
  <c r="I847" i="24" s="1"/>
  <c r="I848" i="24" s="1"/>
  <c r="K844" i="24"/>
  <c r="K845" i="24" s="1"/>
  <c r="J844" i="24"/>
  <c r="J845" i="24" s="1"/>
  <c r="J846" i="24" s="1"/>
  <c r="J847" i="24" s="1"/>
  <c r="J848" i="24" s="1"/>
  <c r="I844" i="24"/>
  <c r="O844" i="24" s="1"/>
  <c r="O843" i="24"/>
  <c r="M843" i="24"/>
  <c r="Q843" i="24" s="1"/>
  <c r="S843" i="24" s="1"/>
  <c r="U843" i="24" s="1"/>
  <c r="Q841" i="24"/>
  <c r="S841" i="24" s="1"/>
  <c r="U841" i="24" s="1"/>
  <c r="S840" i="24"/>
  <c r="U840" i="24" s="1"/>
  <c r="Q840" i="24"/>
  <c r="Q839" i="24"/>
  <c r="S839" i="24" s="1"/>
  <c r="U839" i="24" s="1"/>
  <c r="M838" i="24"/>
  <c r="Q838" i="24" s="1"/>
  <c r="S838" i="24" s="1"/>
  <c r="U838" i="24" s="1"/>
  <c r="O837" i="24"/>
  <c r="J837" i="24"/>
  <c r="J838" i="24" s="1"/>
  <c r="J839" i="24" s="1"/>
  <c r="J840" i="24" s="1"/>
  <c r="J841" i="24" s="1"/>
  <c r="Q836" i="24"/>
  <c r="S836" i="24" s="1"/>
  <c r="U836" i="24" s="1"/>
  <c r="O836" i="24"/>
  <c r="M836" i="24"/>
  <c r="O834" i="24"/>
  <c r="M834" i="24"/>
  <c r="Q834" i="24" s="1"/>
  <c r="S834" i="24" s="1"/>
  <c r="U834" i="24" s="1"/>
  <c r="Q833" i="24"/>
  <c r="S833" i="24" s="1"/>
  <c r="U833" i="24" s="1"/>
  <c r="M833" i="24"/>
  <c r="M832" i="24"/>
  <c r="Q832" i="24" s="1"/>
  <c r="S832" i="24" s="1"/>
  <c r="U832" i="24" s="1"/>
  <c r="Q831" i="24"/>
  <c r="S831" i="24" s="1"/>
  <c r="U831" i="24" s="1"/>
  <c r="M831" i="24"/>
  <c r="Q829" i="24"/>
  <c r="S829" i="24" s="1"/>
  <c r="U829" i="24" s="1"/>
  <c r="M829" i="24"/>
  <c r="U828" i="24"/>
  <c r="M828" i="24"/>
  <c r="Q828" i="24" s="1"/>
  <c r="S828" i="24" s="1"/>
  <c r="Q827" i="24"/>
  <c r="S827" i="24" s="1"/>
  <c r="U827" i="24" s="1"/>
  <c r="M827" i="24"/>
  <c r="M826" i="24"/>
  <c r="Q826" i="24" s="1"/>
  <c r="S826" i="24" s="1"/>
  <c r="U826" i="24" s="1"/>
  <c r="U824" i="24"/>
  <c r="O824" i="24"/>
  <c r="M824" i="24"/>
  <c r="Q824" i="24" s="1"/>
  <c r="S824" i="24" s="1"/>
  <c r="S823" i="24"/>
  <c r="U823" i="24" s="1"/>
  <c r="Q823" i="24"/>
  <c r="Q821" i="24"/>
  <c r="S821" i="24" s="1"/>
  <c r="U821" i="24" s="1"/>
  <c r="Q819" i="24"/>
  <c r="S819" i="24" s="1"/>
  <c r="U819" i="24" s="1"/>
  <c r="M819" i="24"/>
  <c r="U818" i="24"/>
  <c r="M818" i="24"/>
  <c r="Q818" i="24" s="1"/>
  <c r="S818" i="24" s="1"/>
  <c r="U816" i="24"/>
  <c r="Q816" i="24"/>
  <c r="S816" i="24" s="1"/>
  <c r="Q815" i="24"/>
  <c r="S815" i="24" s="1"/>
  <c r="U815" i="24" s="1"/>
  <c r="Q814" i="24"/>
  <c r="S814" i="24" s="1"/>
  <c r="U814" i="24" s="1"/>
  <c r="Q812" i="24"/>
  <c r="S812" i="24" s="1"/>
  <c r="U812" i="24" s="1"/>
  <c r="S811" i="24"/>
  <c r="U811" i="24" s="1"/>
  <c r="Q811" i="24"/>
  <c r="S810" i="24"/>
  <c r="U810" i="24" s="1"/>
  <c r="Q810" i="24"/>
  <c r="Q809" i="24"/>
  <c r="S809" i="24" s="1"/>
  <c r="U809" i="24" s="1"/>
  <c r="M808" i="24"/>
  <c r="Q808" i="24" s="1"/>
  <c r="S808" i="24" s="1"/>
  <c r="U808" i="24" s="1"/>
  <c r="O806" i="24"/>
  <c r="Q806" i="24" s="1"/>
  <c r="S806" i="24" s="1"/>
  <c r="U806" i="24" s="1"/>
  <c r="M806" i="24"/>
  <c r="Q805" i="24"/>
  <c r="S805" i="24" s="1"/>
  <c r="U805" i="24" s="1"/>
  <c r="S803" i="24"/>
  <c r="U803" i="24" s="1"/>
  <c r="Q803" i="24"/>
  <c r="Q801" i="24"/>
  <c r="S801" i="24" s="1"/>
  <c r="U801" i="24" s="1"/>
  <c r="M800" i="24"/>
  <c r="Q800" i="24" s="1"/>
  <c r="S800" i="24" s="1"/>
  <c r="U800" i="24" s="1"/>
  <c r="S798" i="24"/>
  <c r="U798" i="24" s="1"/>
  <c r="Q798" i="24"/>
  <c r="Q797" i="24"/>
  <c r="S797" i="24" s="1"/>
  <c r="U797" i="24" s="1"/>
  <c r="M796" i="24"/>
  <c r="Q796" i="24" s="1"/>
  <c r="S796" i="24" s="1"/>
  <c r="U796" i="24" s="1"/>
  <c r="M793" i="24"/>
  <c r="Q793" i="24" s="1"/>
  <c r="S793" i="24" s="1"/>
  <c r="U793" i="24" s="1"/>
  <c r="Q792" i="24"/>
  <c r="S792" i="24" s="1"/>
  <c r="U792" i="24" s="1"/>
  <c r="M792" i="24"/>
  <c r="M791" i="24"/>
  <c r="Q791" i="24" s="1"/>
  <c r="S791" i="24" s="1"/>
  <c r="U791" i="24" s="1"/>
  <c r="S790" i="24"/>
  <c r="U790" i="24" s="1"/>
  <c r="Q790" i="24"/>
  <c r="M790" i="24"/>
  <c r="Q788" i="24"/>
  <c r="S788" i="24" s="1"/>
  <c r="U788" i="24" s="1"/>
  <c r="M788" i="24"/>
  <c r="M787" i="24"/>
  <c r="Q787" i="24" s="1"/>
  <c r="S787" i="24" s="1"/>
  <c r="U787" i="24" s="1"/>
  <c r="M785" i="24"/>
  <c r="Q785" i="24" s="1"/>
  <c r="S785" i="24" s="1"/>
  <c r="U785" i="24" s="1"/>
  <c r="S784" i="24"/>
  <c r="U784" i="24" s="1"/>
  <c r="Q784" i="24"/>
  <c r="M784" i="24"/>
  <c r="U783" i="24"/>
  <c r="M783" i="24"/>
  <c r="Q783" i="24" s="1"/>
  <c r="S783" i="24" s="1"/>
  <c r="S782" i="24"/>
  <c r="U782" i="24" s="1"/>
  <c r="Q782" i="24"/>
  <c r="Q780" i="24"/>
  <c r="S780" i="24" s="1"/>
  <c r="U780" i="24" s="1"/>
  <c r="M780" i="24"/>
  <c r="M779" i="24"/>
  <c r="Q779" i="24" s="1"/>
  <c r="S779" i="24" s="1"/>
  <c r="U779" i="24" s="1"/>
  <c r="M778" i="24"/>
  <c r="Q778" i="24" s="1"/>
  <c r="S778" i="24" s="1"/>
  <c r="U778" i="24" s="1"/>
  <c r="U777" i="24"/>
  <c r="S777" i="24"/>
  <c r="Q777" i="24"/>
  <c r="Q775" i="24"/>
  <c r="S775" i="24" s="1"/>
  <c r="U775" i="24" s="1"/>
  <c r="M775" i="24"/>
  <c r="M774" i="24"/>
  <c r="Q774" i="24" s="1"/>
  <c r="S774" i="24" s="1"/>
  <c r="U774" i="24" s="1"/>
  <c r="S773" i="24"/>
  <c r="U773" i="24" s="1"/>
  <c r="Q773" i="24"/>
  <c r="M773" i="24"/>
  <c r="U772" i="24"/>
  <c r="M772" i="24"/>
  <c r="Q772" i="24" s="1"/>
  <c r="S772" i="24" s="1"/>
  <c r="S771" i="24"/>
  <c r="U771" i="24" s="1"/>
  <c r="Q771" i="24"/>
  <c r="M771" i="24"/>
  <c r="U770" i="24"/>
  <c r="M770" i="24"/>
  <c r="Q770" i="24" s="1"/>
  <c r="S770" i="24" s="1"/>
  <c r="Q769" i="24"/>
  <c r="S769" i="24" s="1"/>
  <c r="U769" i="24" s="1"/>
  <c r="M769" i="24"/>
  <c r="M768" i="24"/>
  <c r="Q768" i="24" s="1"/>
  <c r="S768" i="24" s="1"/>
  <c r="U768" i="24" s="1"/>
  <c r="Q767" i="24"/>
  <c r="S767" i="24" s="1"/>
  <c r="U767" i="24" s="1"/>
  <c r="M767" i="24"/>
  <c r="M766" i="24"/>
  <c r="Q766" i="24" s="1"/>
  <c r="S766" i="24" s="1"/>
  <c r="U766" i="24" s="1"/>
  <c r="S765" i="24"/>
  <c r="U765" i="24" s="1"/>
  <c r="Q765" i="24"/>
  <c r="M765" i="24"/>
  <c r="U764" i="24"/>
  <c r="M764" i="24"/>
  <c r="Q764" i="24" s="1"/>
  <c r="S764" i="24" s="1"/>
  <c r="S763" i="24"/>
  <c r="U763" i="24" s="1"/>
  <c r="Q763" i="24"/>
  <c r="S762" i="24"/>
  <c r="U762" i="24" s="1"/>
  <c r="Q762" i="24"/>
  <c r="Q760" i="24"/>
  <c r="S760" i="24" s="1"/>
  <c r="U760" i="24" s="1"/>
  <c r="O760" i="24"/>
  <c r="U759" i="24"/>
  <c r="S759" i="24"/>
  <c r="Q759" i="24"/>
  <c r="Q758" i="24"/>
  <c r="S758" i="24" s="1"/>
  <c r="U758" i="24" s="1"/>
  <c r="O758" i="24"/>
  <c r="S757" i="24"/>
  <c r="U757" i="24" s="1"/>
  <c r="Q757" i="24"/>
  <c r="O755" i="24"/>
  <c r="K754" i="24"/>
  <c r="J754" i="24"/>
  <c r="M754" i="24" s="1"/>
  <c r="I754" i="24"/>
  <c r="O754" i="24" s="1"/>
  <c r="Q754" i="24" s="1"/>
  <c r="S754" i="24" s="1"/>
  <c r="U754" i="24" s="1"/>
  <c r="K753" i="24"/>
  <c r="J753" i="24"/>
  <c r="M753" i="24" s="1"/>
  <c r="Q753" i="24" s="1"/>
  <c r="S753" i="24" s="1"/>
  <c r="U753" i="24" s="1"/>
  <c r="K752" i="24"/>
  <c r="M752" i="24" s="1"/>
  <c r="J752" i="24"/>
  <c r="I752" i="24"/>
  <c r="M750" i="24"/>
  <c r="Q750" i="24" s="1"/>
  <c r="S750" i="24" s="1"/>
  <c r="U750" i="24" s="1"/>
  <c r="M749" i="24"/>
  <c r="Q749" i="24" s="1"/>
  <c r="S749" i="24" s="1"/>
  <c r="U749" i="24" s="1"/>
  <c r="I749" i="24"/>
  <c r="I753" i="24" s="1"/>
  <c r="M748" i="24"/>
  <c r="Q748" i="24" s="1"/>
  <c r="S748" i="24" s="1"/>
  <c r="U748" i="24" s="1"/>
  <c r="S747" i="24"/>
  <c r="U747" i="24" s="1"/>
  <c r="Q747" i="24"/>
  <c r="U744" i="24"/>
  <c r="S744" i="24"/>
  <c r="Q744" i="24"/>
  <c r="J743" i="24"/>
  <c r="M743" i="24" s="1"/>
  <c r="Q743" i="24" s="1"/>
  <c r="S743" i="24" s="1"/>
  <c r="U743" i="24" s="1"/>
  <c r="U742" i="24"/>
  <c r="S742" i="24"/>
  <c r="J742" i="24"/>
  <c r="M742" i="24" s="1"/>
  <c r="Q742" i="24" s="1"/>
  <c r="U740" i="24"/>
  <c r="Q740" i="24"/>
  <c r="S740" i="24" s="1"/>
  <c r="Q739" i="24"/>
  <c r="S739" i="24" s="1"/>
  <c r="U739" i="24" s="1"/>
  <c r="S738" i="24"/>
  <c r="U738" i="24" s="1"/>
  <c r="Q738" i="24"/>
  <c r="U736" i="24"/>
  <c r="S736" i="24"/>
  <c r="Q736" i="24"/>
  <c r="U735" i="24"/>
  <c r="Q735" i="24"/>
  <c r="S735" i="24" s="1"/>
  <c r="S734" i="24"/>
  <c r="U734" i="24" s="1"/>
  <c r="Q734" i="24"/>
  <c r="Q732" i="24"/>
  <c r="S732" i="24" s="1"/>
  <c r="U732" i="24" s="1"/>
  <c r="Q731" i="24"/>
  <c r="I731" i="24"/>
  <c r="S730" i="24"/>
  <c r="U730" i="24" s="1"/>
  <c r="Q730" i="24"/>
  <c r="O730" i="24"/>
  <c r="M730" i="24"/>
  <c r="U728" i="24"/>
  <c r="S728" i="24"/>
  <c r="Q728" i="24"/>
  <c r="Q727" i="24"/>
  <c r="S727" i="24" s="1"/>
  <c r="U727" i="24" s="1"/>
  <c r="I727" i="24"/>
  <c r="I739" i="24" s="1"/>
  <c r="S726" i="24"/>
  <c r="U726" i="24" s="1"/>
  <c r="Q726" i="24"/>
  <c r="I726" i="24"/>
  <c r="I738" i="24" s="1"/>
  <c r="Q724" i="24"/>
  <c r="Q723" i="24"/>
  <c r="K723" i="24"/>
  <c r="K724" i="24" s="1"/>
  <c r="I723" i="24"/>
  <c r="I735" i="24" s="1"/>
  <c r="U722" i="24"/>
  <c r="S722" i="24"/>
  <c r="Q722" i="24"/>
  <c r="K722" i="24"/>
  <c r="I722" i="24"/>
  <c r="I734" i="24" s="1"/>
  <c r="K719" i="24"/>
  <c r="K720" i="24" s="1"/>
  <c r="M720" i="24" s="1"/>
  <c r="Q720" i="24" s="1"/>
  <c r="I719" i="24"/>
  <c r="Q718" i="24"/>
  <c r="M718" i="24"/>
  <c r="K718" i="24"/>
  <c r="I718" i="24"/>
  <c r="K716" i="24"/>
  <c r="M716" i="24" s="1"/>
  <c r="Q716" i="24" s="1"/>
  <c r="S716" i="24" s="1"/>
  <c r="U716" i="24" s="1"/>
  <c r="S715" i="24"/>
  <c r="U715" i="24" s="1"/>
  <c r="Q715" i="24"/>
  <c r="M715" i="24"/>
  <c r="Q714" i="24"/>
  <c r="S714" i="24" s="1"/>
  <c r="U714" i="24" s="1"/>
  <c r="M714" i="24"/>
  <c r="S712" i="24"/>
  <c r="U712" i="24" s="1"/>
  <c r="Q712" i="24"/>
  <c r="J711" i="24"/>
  <c r="J715" i="24" s="1"/>
  <c r="J710" i="24"/>
  <c r="J714" i="24" s="1"/>
  <c r="U708" i="24"/>
  <c r="S708" i="24"/>
  <c r="Q708" i="24"/>
  <c r="Q707" i="24"/>
  <c r="S707" i="24" s="1"/>
  <c r="U707" i="24" s="1"/>
  <c r="S706" i="24"/>
  <c r="U706" i="24" s="1"/>
  <c r="Q706" i="24"/>
  <c r="S704" i="24"/>
  <c r="U704" i="24" s="1"/>
  <c r="Q704" i="24"/>
  <c r="U703" i="24"/>
  <c r="S703" i="24"/>
  <c r="Q703" i="24"/>
  <c r="Q702" i="24"/>
  <c r="S702" i="24" s="1"/>
  <c r="U702" i="24" s="1"/>
  <c r="Q700" i="24"/>
  <c r="S700" i="24" s="1"/>
  <c r="U700" i="24" s="1"/>
  <c r="Q699" i="24"/>
  <c r="I699" i="24"/>
  <c r="S698" i="24"/>
  <c r="U698" i="24" s="1"/>
  <c r="Q698" i="24"/>
  <c r="O698" i="24"/>
  <c r="M698" i="24"/>
  <c r="U696" i="24"/>
  <c r="S696" i="24"/>
  <c r="Q696" i="24"/>
  <c r="Q695" i="24"/>
  <c r="S695" i="24" s="1"/>
  <c r="U695" i="24" s="1"/>
  <c r="I695" i="24"/>
  <c r="I707" i="24" s="1"/>
  <c r="S694" i="24"/>
  <c r="U694" i="24" s="1"/>
  <c r="Q694" i="24"/>
  <c r="I694" i="24"/>
  <c r="I706" i="24" s="1"/>
  <c r="Q692" i="24"/>
  <c r="Q691" i="24"/>
  <c r="K691" i="24"/>
  <c r="K692" i="24" s="1"/>
  <c r="I691" i="24"/>
  <c r="I703" i="24" s="1"/>
  <c r="U690" i="24"/>
  <c r="S690" i="24"/>
  <c r="Q690" i="24"/>
  <c r="K690" i="24"/>
  <c r="I690" i="24"/>
  <c r="I702" i="24" s="1"/>
  <c r="K687" i="24"/>
  <c r="K688" i="24" s="1"/>
  <c r="M688" i="24" s="1"/>
  <c r="Q688" i="24" s="1"/>
  <c r="I687" i="24"/>
  <c r="Q686" i="24"/>
  <c r="M686" i="24"/>
  <c r="K686" i="24"/>
  <c r="I686" i="24"/>
  <c r="K684" i="24"/>
  <c r="M684" i="24" s="1"/>
  <c r="Q684" i="24" s="1"/>
  <c r="S684" i="24" s="1"/>
  <c r="U684" i="24" s="1"/>
  <c r="S683" i="24"/>
  <c r="U683" i="24" s="1"/>
  <c r="Q683" i="24"/>
  <c r="M683" i="24"/>
  <c r="M682" i="24"/>
  <c r="Q682" i="24" s="1"/>
  <c r="S682" i="24" s="1"/>
  <c r="U682" i="24" s="1"/>
  <c r="S679" i="24"/>
  <c r="U679" i="24" s="1"/>
  <c r="Q679" i="24"/>
  <c r="O679" i="24"/>
  <c r="O678" i="24"/>
  <c r="I678" i="24"/>
  <c r="Q677" i="24"/>
  <c r="S677" i="24" s="1"/>
  <c r="U677" i="24" s="1"/>
  <c r="I677" i="24"/>
  <c r="U676" i="24"/>
  <c r="S676" i="24"/>
  <c r="Q676" i="24"/>
  <c r="I676" i="24"/>
  <c r="O675" i="24"/>
  <c r="I675" i="24"/>
  <c r="O674" i="24"/>
  <c r="J674" i="24"/>
  <c r="J675" i="24" s="1"/>
  <c r="I674" i="24"/>
  <c r="Q672" i="24"/>
  <c r="S672" i="24" s="1"/>
  <c r="U672" i="24" s="1"/>
  <c r="I672" i="24"/>
  <c r="S671" i="24"/>
  <c r="U671" i="24" s="1"/>
  <c r="Q671" i="24"/>
  <c r="O668" i="24"/>
  <c r="M668" i="24"/>
  <c r="Q668" i="24" s="1"/>
  <c r="S668" i="24" s="1"/>
  <c r="U668" i="24" s="1"/>
  <c r="J668" i="24"/>
  <c r="I668" i="24"/>
  <c r="Q667" i="24"/>
  <c r="S667" i="24" s="1"/>
  <c r="U667" i="24" s="1"/>
  <c r="I667" i="24"/>
  <c r="S666" i="24"/>
  <c r="U666" i="24" s="1"/>
  <c r="Q666" i="24"/>
  <c r="I666" i="24"/>
  <c r="O665" i="24"/>
  <c r="M665" i="24"/>
  <c r="Q665" i="24" s="1"/>
  <c r="S665" i="24" s="1"/>
  <c r="U665" i="24" s="1"/>
  <c r="J665" i="24"/>
  <c r="I665" i="24"/>
  <c r="O664" i="24"/>
  <c r="I664" i="24"/>
  <c r="M664" i="24" s="1"/>
  <c r="Q664" i="24" s="1"/>
  <c r="S664" i="24" s="1"/>
  <c r="U664" i="24" s="1"/>
  <c r="U662" i="24"/>
  <c r="S662" i="24"/>
  <c r="Q662" i="24"/>
  <c r="I662" i="24"/>
  <c r="S661" i="24"/>
  <c r="U661" i="24" s="1"/>
  <c r="Q661" i="24"/>
  <c r="O658" i="24"/>
  <c r="O657" i="24"/>
  <c r="M657" i="24"/>
  <c r="Q657" i="24" s="1"/>
  <c r="S657" i="24" s="1"/>
  <c r="U657" i="24" s="1"/>
  <c r="J657" i="24"/>
  <c r="J658" i="24" s="1"/>
  <c r="O656" i="24"/>
  <c r="M656" i="24"/>
  <c r="Q656" i="24" s="1"/>
  <c r="S656" i="24" s="1"/>
  <c r="U656" i="24" s="1"/>
  <c r="U655" i="24"/>
  <c r="S655" i="24"/>
  <c r="Q655" i="24"/>
  <c r="Q654" i="24"/>
  <c r="S654" i="24" s="1"/>
  <c r="U654" i="24" s="1"/>
  <c r="U653" i="24"/>
  <c r="S653" i="24"/>
  <c r="Q653" i="24"/>
  <c r="Q652" i="24"/>
  <c r="S652" i="24" s="1"/>
  <c r="U652" i="24" s="1"/>
  <c r="U651" i="24"/>
  <c r="S651" i="24"/>
  <c r="Q651" i="24"/>
  <c r="Q650" i="24"/>
  <c r="S650" i="24" s="1"/>
  <c r="U650" i="24" s="1"/>
  <c r="U649" i="24"/>
  <c r="S649" i="24"/>
  <c r="Q649" i="24"/>
  <c r="Q648" i="24"/>
  <c r="S648" i="24" s="1"/>
  <c r="U648" i="24" s="1"/>
  <c r="O647" i="24"/>
  <c r="M647" i="24"/>
  <c r="Q647" i="24" s="1"/>
  <c r="S647" i="24" s="1"/>
  <c r="U647" i="24" s="1"/>
  <c r="J647" i="24"/>
  <c r="J648" i="24" s="1"/>
  <c r="J649" i="24" s="1"/>
  <c r="J650" i="24" s="1"/>
  <c r="J651" i="24" s="1"/>
  <c r="J652" i="24" s="1"/>
  <c r="J653" i="24" s="1"/>
  <c r="J654" i="24" s="1"/>
  <c r="J655" i="24" s="1"/>
  <c r="U646" i="24"/>
  <c r="S646" i="24"/>
  <c r="O645" i="24"/>
  <c r="M645" i="24"/>
  <c r="Q645" i="24" s="1"/>
  <c r="S645" i="24" s="1"/>
  <c r="U645" i="24" s="1"/>
  <c r="S644" i="24"/>
  <c r="U644" i="24" s="1"/>
  <c r="Q644" i="24"/>
  <c r="Q642" i="24"/>
  <c r="S642" i="24" s="1"/>
  <c r="U642" i="24" s="1"/>
  <c r="J642" i="24"/>
  <c r="U641" i="24"/>
  <c r="S641" i="24"/>
  <c r="Q641" i="24"/>
  <c r="J641" i="24"/>
  <c r="Q640" i="24"/>
  <c r="S640" i="24" s="1"/>
  <c r="U640" i="24" s="1"/>
  <c r="S639" i="24"/>
  <c r="U639" i="24" s="1"/>
  <c r="Q639" i="24"/>
  <c r="Q637" i="24"/>
  <c r="S637" i="24" s="1"/>
  <c r="U637" i="24" s="1"/>
  <c r="S636" i="24"/>
  <c r="U636" i="24" s="1"/>
  <c r="Q636" i="24"/>
  <c r="O636" i="24"/>
  <c r="M636" i="24"/>
  <c r="Q635" i="24"/>
  <c r="S635" i="24" s="1"/>
  <c r="U635" i="24" s="1"/>
  <c r="S634" i="24"/>
  <c r="U634" i="24" s="1"/>
  <c r="Q634" i="24"/>
  <c r="O634" i="24"/>
  <c r="M634" i="24"/>
  <c r="U632" i="24"/>
  <c r="S632" i="24"/>
  <c r="Q632" i="24"/>
  <c r="O631" i="24"/>
  <c r="M631" i="24"/>
  <c r="Q631" i="24" s="1"/>
  <c r="S631" i="24" s="1"/>
  <c r="U631" i="24" s="1"/>
  <c r="U630" i="24"/>
  <c r="S630" i="24"/>
  <c r="Q630" i="24"/>
  <c r="O629" i="24"/>
  <c r="M629" i="24"/>
  <c r="Q629" i="24" s="1"/>
  <c r="S629" i="24" s="1"/>
  <c r="U629" i="24" s="1"/>
  <c r="Q627" i="24"/>
  <c r="S627" i="24" s="1"/>
  <c r="U627" i="24" s="1"/>
  <c r="S626" i="24"/>
  <c r="U626" i="24" s="1"/>
  <c r="Q626" i="24"/>
  <c r="U625" i="24"/>
  <c r="S625" i="24"/>
  <c r="Q625" i="24"/>
  <c r="S623" i="24"/>
  <c r="U623" i="24" s="1"/>
  <c r="Q623" i="24"/>
  <c r="O623" i="24"/>
  <c r="M623" i="24"/>
  <c r="Q622" i="24"/>
  <c r="S622" i="24" s="1"/>
  <c r="U622" i="24" s="1"/>
  <c r="O622" i="24"/>
  <c r="M622" i="24"/>
  <c r="O621" i="24"/>
  <c r="M621" i="24"/>
  <c r="Q621" i="24" s="1"/>
  <c r="S621" i="24" s="1"/>
  <c r="U621" i="24" s="1"/>
  <c r="O620" i="24"/>
  <c r="M620" i="24"/>
  <c r="Q620" i="24" s="1"/>
  <c r="S620" i="24" s="1"/>
  <c r="U620" i="24" s="1"/>
  <c r="O618" i="24"/>
  <c r="Q618" i="24" s="1"/>
  <c r="S618" i="24" s="1"/>
  <c r="U618" i="24" s="1"/>
  <c r="S617" i="24"/>
  <c r="U617" i="24" s="1"/>
  <c r="Q617" i="24"/>
  <c r="U616" i="24"/>
  <c r="S616" i="24"/>
  <c r="Q616" i="24"/>
  <c r="O614" i="24"/>
  <c r="J614" i="24"/>
  <c r="M614" i="24" s="1"/>
  <c r="Q614" i="24" s="1"/>
  <c r="S614" i="24" s="1"/>
  <c r="U614" i="24" s="1"/>
  <c r="S613" i="24"/>
  <c r="U613" i="24" s="1"/>
  <c r="Q613" i="24"/>
  <c r="M613" i="24"/>
  <c r="U612" i="24"/>
  <c r="S612" i="24"/>
  <c r="Q612" i="24"/>
  <c r="O610" i="24"/>
  <c r="M610" i="24"/>
  <c r="Q610" i="24" s="1"/>
  <c r="S610" i="24" s="1"/>
  <c r="U610" i="24" s="1"/>
  <c r="J610" i="24"/>
  <c r="U609" i="24"/>
  <c r="S609" i="24"/>
  <c r="Q609" i="24"/>
  <c r="M609" i="24"/>
  <c r="Q608" i="24"/>
  <c r="S608" i="24" s="1"/>
  <c r="U608" i="24" s="1"/>
  <c r="O608" i="24"/>
  <c r="M608" i="24"/>
  <c r="S606" i="24"/>
  <c r="U606" i="24" s="1"/>
  <c r="Q606" i="24"/>
  <c r="U605" i="24"/>
  <c r="S605" i="24"/>
  <c r="Q605" i="24"/>
  <c r="U602" i="24"/>
  <c r="S602" i="24"/>
  <c r="Q602" i="24"/>
  <c r="S601" i="24"/>
  <c r="U601" i="24" s="1"/>
  <c r="Q601" i="24"/>
  <c r="U600" i="24"/>
  <c r="S600" i="24"/>
  <c r="Q600" i="24"/>
  <c r="S599" i="24"/>
  <c r="U599" i="24" s="1"/>
  <c r="Q599" i="24"/>
  <c r="U598" i="24"/>
  <c r="S598" i="24"/>
  <c r="Q598" i="24"/>
  <c r="U596" i="24"/>
  <c r="S596" i="24"/>
  <c r="Q596" i="24"/>
  <c r="J596" i="24"/>
  <c r="S595" i="24"/>
  <c r="U595" i="24" s="1"/>
  <c r="Q595" i="24"/>
  <c r="J595" i="24"/>
  <c r="O594" i="24"/>
  <c r="M594" i="24"/>
  <c r="U593" i="24"/>
  <c r="S593" i="24"/>
  <c r="Q593" i="24"/>
  <c r="O592" i="24"/>
  <c r="I590" i="24"/>
  <c r="O590" i="24" s="1"/>
  <c r="O588" i="24"/>
  <c r="Q585" i="24"/>
  <c r="S585" i="24" s="1"/>
  <c r="U585" i="24" s="1"/>
  <c r="J585" i="24"/>
  <c r="S583" i="24"/>
  <c r="U583" i="24" s="1"/>
  <c r="Q583" i="24"/>
  <c r="J583" i="24"/>
  <c r="J586" i="24" s="1"/>
  <c r="M586" i="24" s="1"/>
  <c r="Q582" i="24"/>
  <c r="S582" i="24" s="1"/>
  <c r="U582" i="24" s="1"/>
  <c r="J582" i="24"/>
  <c r="M580" i="24"/>
  <c r="I580" i="24"/>
  <c r="S579" i="24"/>
  <c r="U579" i="24" s="1"/>
  <c r="Q579" i="24"/>
  <c r="O579" i="24"/>
  <c r="M579" i="24"/>
  <c r="Q578" i="24"/>
  <c r="S578" i="24" s="1"/>
  <c r="U578" i="24" s="1"/>
  <c r="S577" i="24"/>
  <c r="U577" i="24" s="1"/>
  <c r="Q577" i="24"/>
  <c r="O577" i="24"/>
  <c r="M577" i="24"/>
  <c r="Q576" i="24"/>
  <c r="S576" i="24" s="1"/>
  <c r="U576" i="24" s="1"/>
  <c r="Q573" i="24"/>
  <c r="S573" i="24" s="1"/>
  <c r="U573" i="24" s="1"/>
  <c r="U572" i="24"/>
  <c r="O572" i="24"/>
  <c r="Q572" i="24" s="1"/>
  <c r="S572" i="24" s="1"/>
  <c r="J572" i="24"/>
  <c r="O570" i="24"/>
  <c r="O569" i="24"/>
  <c r="Q568" i="24"/>
  <c r="S568" i="24" s="1"/>
  <c r="U568" i="24" s="1"/>
  <c r="J568" i="24"/>
  <c r="J569" i="24" s="1"/>
  <c r="O567" i="24"/>
  <c r="M567" i="24"/>
  <c r="Q567" i="24" s="1"/>
  <c r="S567" i="24" s="1"/>
  <c r="U567" i="24" s="1"/>
  <c r="J567" i="24"/>
  <c r="O566" i="24"/>
  <c r="M566" i="24"/>
  <c r="Q566" i="24" s="1"/>
  <c r="S566" i="24" s="1"/>
  <c r="U566" i="24" s="1"/>
  <c r="Q565" i="24"/>
  <c r="S565" i="24" s="1"/>
  <c r="U565" i="24" s="1"/>
  <c r="Q563" i="24"/>
  <c r="S563" i="24" s="1"/>
  <c r="U563" i="24" s="1"/>
  <c r="Q562" i="24"/>
  <c r="S562" i="24" s="1"/>
  <c r="U562" i="24" s="1"/>
  <c r="J562" i="24"/>
  <c r="O560" i="24"/>
  <c r="Q560" i="24" s="1"/>
  <c r="S560" i="24" s="1"/>
  <c r="U560" i="24" s="1"/>
  <c r="J560" i="24"/>
  <c r="J563" i="24" s="1"/>
  <c r="O559" i="24"/>
  <c r="Q559" i="24" s="1"/>
  <c r="S559" i="24" s="1"/>
  <c r="U559" i="24" s="1"/>
  <c r="S557" i="24"/>
  <c r="U557" i="24" s="1"/>
  <c r="Q557" i="24"/>
  <c r="Q556" i="24"/>
  <c r="S556" i="24" s="1"/>
  <c r="U556" i="24" s="1"/>
  <c r="S554" i="24"/>
  <c r="U554" i="24" s="1"/>
  <c r="Q554" i="24"/>
  <c r="Q553" i="24"/>
  <c r="S553" i="24" s="1"/>
  <c r="U553" i="24" s="1"/>
  <c r="S551" i="24"/>
  <c r="U551" i="24" s="1"/>
  <c r="Q551" i="24"/>
  <c r="Q550" i="24"/>
  <c r="S550" i="24" s="1"/>
  <c r="U550" i="24" s="1"/>
  <c r="Q548" i="24"/>
  <c r="S548" i="24" s="1"/>
  <c r="U548" i="24" s="1"/>
  <c r="L548" i="24"/>
  <c r="K548" i="24"/>
  <c r="I548" i="24"/>
  <c r="O546" i="24"/>
  <c r="O545" i="24"/>
  <c r="O544" i="24"/>
  <c r="O543" i="24"/>
  <c r="Q542" i="24"/>
  <c r="S542" i="24" s="1"/>
  <c r="U542" i="24" s="1"/>
  <c r="O538" i="24"/>
  <c r="O537" i="24"/>
  <c r="Q536" i="24"/>
  <c r="O535" i="24"/>
  <c r="O534" i="24"/>
  <c r="O533" i="24"/>
  <c r="O532" i="24"/>
  <c r="Q531" i="24"/>
  <c r="S531" i="24" s="1"/>
  <c r="U531" i="24" s="1"/>
  <c r="O528" i="24"/>
  <c r="O527" i="24"/>
  <c r="S525" i="24"/>
  <c r="U525" i="24" s="1"/>
  <c r="Q525" i="24"/>
  <c r="M525" i="24"/>
  <c r="L525" i="24"/>
  <c r="K525" i="24"/>
  <c r="I525" i="24"/>
  <c r="S523" i="24"/>
  <c r="U523" i="24" s="1"/>
  <c r="Q523" i="24"/>
  <c r="O522" i="24"/>
  <c r="O521" i="24"/>
  <c r="O520" i="24"/>
  <c r="O519" i="24"/>
  <c r="U518" i="24"/>
  <c r="S518" i="24"/>
  <c r="Q518" i="24"/>
  <c r="I516" i="24"/>
  <c r="I518" i="24" s="1"/>
  <c r="J515" i="24"/>
  <c r="M515" i="24" s="1"/>
  <c r="Q515" i="24" s="1"/>
  <c r="S515" i="24" s="1"/>
  <c r="U515" i="24" s="1"/>
  <c r="I515" i="24"/>
  <c r="O515" i="24" s="1"/>
  <c r="Q513" i="24"/>
  <c r="S513" i="24" s="1"/>
  <c r="U513" i="24" s="1"/>
  <c r="J513" i="24"/>
  <c r="J516" i="24" s="1"/>
  <c r="M516" i="24" s="1"/>
  <c r="O512" i="24"/>
  <c r="M512" i="24"/>
  <c r="O511" i="24"/>
  <c r="J511" i="24"/>
  <c r="J512" i="24" s="1"/>
  <c r="I511" i="24"/>
  <c r="I512" i="24" s="1"/>
  <c r="I513" i="24" s="1"/>
  <c r="S510" i="24"/>
  <c r="U510" i="24" s="1"/>
  <c r="Q510" i="24"/>
  <c r="I510" i="24"/>
  <c r="O508" i="24"/>
  <c r="O507" i="24"/>
  <c r="O506" i="24"/>
  <c r="O505" i="24"/>
  <c r="J505" i="24"/>
  <c r="M505" i="24" s="1"/>
  <c r="Q505" i="24" s="1"/>
  <c r="S505" i="24" s="1"/>
  <c r="U505" i="24" s="1"/>
  <c r="Q504" i="24"/>
  <c r="S504" i="24" s="1"/>
  <c r="U504" i="24" s="1"/>
  <c r="O504" i="24"/>
  <c r="M504" i="24"/>
  <c r="Q503" i="24"/>
  <c r="S503" i="24" s="1"/>
  <c r="U503" i="24" s="1"/>
  <c r="O503" i="24"/>
  <c r="M503" i="24"/>
  <c r="S502" i="24"/>
  <c r="U502" i="24" s="1"/>
  <c r="Q502" i="24"/>
  <c r="S500" i="24"/>
  <c r="U500" i="24" s="1"/>
  <c r="Q500" i="24"/>
  <c r="S499" i="24"/>
  <c r="U499" i="24" s="1"/>
  <c r="Q499" i="24"/>
  <c r="Q497" i="24"/>
  <c r="S497" i="24" s="1"/>
  <c r="U497" i="24" s="1"/>
  <c r="O497" i="24"/>
  <c r="M497" i="24"/>
  <c r="Q496" i="24"/>
  <c r="S496" i="24" s="1"/>
  <c r="U496" i="24" s="1"/>
  <c r="Q495" i="24"/>
  <c r="S495" i="24" s="1"/>
  <c r="U495" i="24" s="1"/>
  <c r="O493" i="24"/>
  <c r="Q493" i="24" s="1"/>
  <c r="S493" i="24" s="1"/>
  <c r="U493" i="24" s="1"/>
  <c r="M493" i="24"/>
  <c r="O492" i="24"/>
  <c r="M492" i="24"/>
  <c r="Q490" i="24"/>
  <c r="S490" i="24" s="1"/>
  <c r="U490" i="24" s="1"/>
  <c r="Q489" i="24"/>
  <c r="S489" i="24" s="1"/>
  <c r="U489" i="24" s="1"/>
  <c r="M489" i="24"/>
  <c r="Q487" i="24"/>
  <c r="S487" i="24" s="1"/>
  <c r="U487" i="24" s="1"/>
  <c r="M487" i="24"/>
  <c r="O486" i="24"/>
  <c r="M486" i="24"/>
  <c r="S485" i="24"/>
  <c r="U485" i="24" s="1"/>
  <c r="Q485" i="24"/>
  <c r="O485" i="24"/>
  <c r="Q484" i="24"/>
  <c r="S484" i="24" s="1"/>
  <c r="U484" i="24" s="1"/>
  <c r="O484" i="24"/>
  <c r="M484" i="24"/>
  <c r="O483" i="24"/>
  <c r="M483" i="24"/>
  <c r="S482" i="24"/>
  <c r="U482" i="24" s="1"/>
  <c r="Q482" i="24"/>
  <c r="O481" i="24"/>
  <c r="M481" i="24"/>
  <c r="O480" i="24"/>
  <c r="M480" i="24"/>
  <c r="Q480" i="24" s="1"/>
  <c r="S480" i="24" s="1"/>
  <c r="U480" i="24" s="1"/>
  <c r="Q479" i="24"/>
  <c r="S479" i="24" s="1"/>
  <c r="U479" i="24" s="1"/>
  <c r="Q477" i="24"/>
  <c r="S477" i="24" s="1"/>
  <c r="U477" i="24" s="1"/>
  <c r="S476" i="24"/>
  <c r="U476" i="24" s="1"/>
  <c r="Q476" i="24"/>
  <c r="Q474" i="24"/>
  <c r="S474" i="24" s="1"/>
  <c r="U474" i="24" s="1"/>
  <c r="O474" i="24"/>
  <c r="S473" i="24"/>
  <c r="U473" i="24" s="1"/>
  <c r="O473" i="24"/>
  <c r="Q473" i="24" s="1"/>
  <c r="J471" i="24"/>
  <c r="O471" i="24" s="1"/>
  <c r="Q471" i="24" s="1"/>
  <c r="S471" i="24" s="1"/>
  <c r="U471" i="24" s="1"/>
  <c r="J470" i="24"/>
  <c r="O470" i="24" s="1"/>
  <c r="Q470" i="24" s="1"/>
  <c r="S470" i="24" s="1"/>
  <c r="U470" i="24" s="1"/>
  <c r="O468" i="24"/>
  <c r="Q468" i="24" s="1"/>
  <c r="S468" i="24" s="1"/>
  <c r="U468" i="24" s="1"/>
  <c r="O467" i="24"/>
  <c r="Q467" i="24" s="1"/>
  <c r="S467" i="24" s="1"/>
  <c r="U467" i="24" s="1"/>
  <c r="Q465" i="24"/>
  <c r="S465" i="24" s="1"/>
  <c r="U465" i="24" s="1"/>
  <c r="U464" i="24"/>
  <c r="S464" i="24"/>
  <c r="Q464" i="24"/>
  <c r="U462" i="24"/>
  <c r="S462" i="24"/>
  <c r="Q462" i="24"/>
  <c r="O460" i="24"/>
  <c r="O459" i="24"/>
  <c r="O458" i="24"/>
  <c r="O457" i="24"/>
  <c r="U456" i="24"/>
  <c r="S456" i="24"/>
  <c r="Q456" i="24"/>
  <c r="I453" i="24"/>
  <c r="I452" i="24"/>
  <c r="O452" i="24" s="1"/>
  <c r="O451" i="24"/>
  <c r="I451" i="24"/>
  <c r="O449" i="24"/>
  <c r="O448" i="24"/>
  <c r="O447" i="24"/>
  <c r="O446" i="24"/>
  <c r="U445" i="24"/>
  <c r="S445" i="24"/>
  <c r="Q445" i="24"/>
  <c r="U443" i="24"/>
  <c r="S443" i="24"/>
  <c r="Q443" i="24"/>
  <c r="O442" i="24"/>
  <c r="J442" i="24"/>
  <c r="M442" i="24" s="1"/>
  <c r="Q442" i="24" s="1"/>
  <c r="S442" i="24" s="1"/>
  <c r="U442" i="24" s="1"/>
  <c r="O441" i="24"/>
  <c r="M441" i="24"/>
  <c r="Q441" i="24" s="1"/>
  <c r="S441" i="24" s="1"/>
  <c r="U441" i="24" s="1"/>
  <c r="I441" i="24"/>
  <c r="U439" i="24"/>
  <c r="S439" i="24"/>
  <c r="Q439" i="24"/>
  <c r="U437" i="24"/>
  <c r="S437" i="24"/>
  <c r="Q437" i="24"/>
  <c r="O436" i="24"/>
  <c r="O435" i="24"/>
  <c r="O434" i="24"/>
  <c r="O433" i="24"/>
  <c r="Q432" i="24"/>
  <c r="S432" i="24" s="1"/>
  <c r="U432" i="24" s="1"/>
  <c r="O430" i="24"/>
  <c r="O429" i="24"/>
  <c r="U427" i="24"/>
  <c r="S427" i="24"/>
  <c r="Q427" i="24"/>
  <c r="Q424" i="24"/>
  <c r="S424" i="24" s="1"/>
  <c r="U424" i="24" s="1"/>
  <c r="J419" i="24"/>
  <c r="J420" i="24" s="1"/>
  <c r="I419" i="24"/>
  <c r="I420" i="24" s="1"/>
  <c r="O418" i="24"/>
  <c r="M418" i="24"/>
  <c r="U417" i="24"/>
  <c r="S417" i="24"/>
  <c r="Q417" i="24"/>
  <c r="S414" i="24"/>
  <c r="U414" i="24" s="1"/>
  <c r="Q414" i="24"/>
  <c r="M414" i="24"/>
  <c r="L414" i="24"/>
  <c r="K414" i="24"/>
  <c r="J414" i="24"/>
  <c r="U413" i="24"/>
  <c r="S413" i="24"/>
  <c r="Q413" i="24"/>
  <c r="Q411" i="24"/>
  <c r="S411" i="24" s="1"/>
  <c r="U411" i="24" s="1"/>
  <c r="O411" i="24"/>
  <c r="M411" i="24"/>
  <c r="Q410" i="24"/>
  <c r="S410" i="24" s="1"/>
  <c r="U410" i="24" s="1"/>
  <c r="Q409" i="24"/>
  <c r="S409" i="24" s="1"/>
  <c r="U409" i="24" s="1"/>
  <c r="Q407" i="24"/>
  <c r="S407" i="24" s="1"/>
  <c r="U407" i="24" s="1"/>
  <c r="Q406" i="24"/>
  <c r="S406" i="24" s="1"/>
  <c r="U406" i="24" s="1"/>
  <c r="O406" i="24"/>
  <c r="M406" i="24"/>
  <c r="M405" i="24"/>
  <c r="Q405" i="24" s="1"/>
  <c r="S405" i="24" s="1"/>
  <c r="U405" i="24" s="1"/>
  <c r="U404" i="24"/>
  <c r="M404" i="24"/>
  <c r="Q404" i="24" s="1"/>
  <c r="S404" i="24" s="1"/>
  <c r="O403" i="24"/>
  <c r="J403" i="24"/>
  <c r="M403" i="24" s="1"/>
  <c r="Q403" i="24" s="1"/>
  <c r="S403" i="24" s="1"/>
  <c r="U403" i="24" s="1"/>
  <c r="M402" i="24"/>
  <c r="Q402" i="24" s="1"/>
  <c r="S402" i="24" s="1"/>
  <c r="U402" i="24" s="1"/>
  <c r="O400" i="24"/>
  <c r="O399" i="24"/>
  <c r="O398" i="24"/>
  <c r="O396" i="24"/>
  <c r="O395" i="24"/>
  <c r="O394" i="24"/>
  <c r="Q393" i="24"/>
  <c r="S393" i="24" s="1"/>
  <c r="U393" i="24" s="1"/>
  <c r="Q391" i="24"/>
  <c r="S391" i="24" s="1"/>
  <c r="U391" i="24" s="1"/>
  <c r="Q390" i="24"/>
  <c r="S390" i="24" s="1"/>
  <c r="U390" i="24" s="1"/>
  <c r="S389" i="24"/>
  <c r="U389" i="24" s="1"/>
  <c r="Q389" i="24"/>
  <c r="S387" i="24"/>
  <c r="U387" i="24" s="1"/>
  <c r="Q387" i="24"/>
  <c r="O386" i="24"/>
  <c r="Q386" i="24" s="1"/>
  <c r="S386" i="24" s="1"/>
  <c r="U386" i="24" s="1"/>
  <c r="O385" i="24"/>
  <c r="Q385" i="24" s="1"/>
  <c r="S385" i="24" s="1"/>
  <c r="U385" i="24" s="1"/>
  <c r="Q383" i="24"/>
  <c r="S383" i="24" s="1"/>
  <c r="U383" i="24" s="1"/>
  <c r="O382" i="24"/>
  <c r="O381" i="24"/>
  <c r="U379" i="24"/>
  <c r="S379" i="24"/>
  <c r="Q379" i="24"/>
  <c r="O378" i="24"/>
  <c r="J378" i="24"/>
  <c r="M378" i="24" s="1"/>
  <c r="Q378" i="24" s="1"/>
  <c r="S378" i="24" s="1"/>
  <c r="U378" i="24" s="1"/>
  <c r="O377" i="24"/>
  <c r="M377" i="24"/>
  <c r="Q377" i="24" s="1"/>
  <c r="S377" i="24" s="1"/>
  <c r="U377" i="24" s="1"/>
  <c r="U375" i="24"/>
  <c r="S375" i="24"/>
  <c r="Q375" i="24"/>
  <c r="Q374" i="24"/>
  <c r="S374" i="24" s="1"/>
  <c r="U374" i="24" s="1"/>
  <c r="S373" i="24"/>
  <c r="U373" i="24" s="1"/>
  <c r="Q373" i="24"/>
  <c r="O371" i="24"/>
  <c r="O370" i="24"/>
  <c r="O369" i="24"/>
  <c r="O368" i="24"/>
  <c r="U367" i="24"/>
  <c r="S367" i="24"/>
  <c r="Q367" i="24"/>
  <c r="O364" i="24"/>
  <c r="O362" i="24"/>
  <c r="O361" i="24"/>
  <c r="O360" i="24"/>
  <c r="O359" i="24"/>
  <c r="Q358" i="24"/>
  <c r="S358" i="24" s="1"/>
  <c r="U358" i="24" s="1"/>
  <c r="O355" i="24"/>
  <c r="O353" i="24"/>
  <c r="O352" i="24"/>
  <c r="Q351" i="24"/>
  <c r="S351" i="24" s="1"/>
  <c r="U351" i="24" s="1"/>
  <c r="O349" i="24"/>
  <c r="O348" i="24"/>
  <c r="I347" i="24"/>
  <c r="O347" i="24" s="1"/>
  <c r="I346" i="24"/>
  <c r="O346" i="24" s="1"/>
  <c r="U345" i="24"/>
  <c r="S345" i="24"/>
  <c r="Q345" i="24"/>
  <c r="O342" i="24"/>
  <c r="O340" i="24"/>
  <c r="O339" i="24"/>
  <c r="O338" i="24"/>
  <c r="I338" i="24"/>
  <c r="O337" i="24"/>
  <c r="I337" i="24"/>
  <c r="Q336" i="24"/>
  <c r="S336" i="24" s="1"/>
  <c r="U336" i="24" s="1"/>
  <c r="Q335" i="24"/>
  <c r="O333" i="24"/>
  <c r="O331" i="24"/>
  <c r="O330" i="24"/>
  <c r="O329" i="24"/>
  <c r="I329" i="24"/>
  <c r="O328" i="24"/>
  <c r="I328" i="24"/>
  <c r="Q327" i="24"/>
  <c r="S327" i="24" s="1"/>
  <c r="U327" i="24" s="1"/>
  <c r="O324" i="24"/>
  <c r="S322" i="24"/>
  <c r="U322" i="24" s="1"/>
  <c r="O322" i="24"/>
  <c r="M322" i="24"/>
  <c r="Q322" i="24" s="1"/>
  <c r="O321" i="24"/>
  <c r="O320" i="24"/>
  <c r="J320" i="24"/>
  <c r="M320" i="24" s="1"/>
  <c r="Q320" i="24" s="1"/>
  <c r="S320" i="24" s="1"/>
  <c r="U320" i="24" s="1"/>
  <c r="O319" i="24"/>
  <c r="M319" i="24"/>
  <c r="M317" i="24"/>
  <c r="O316" i="24"/>
  <c r="O317" i="24" s="1"/>
  <c r="M316" i="24"/>
  <c r="Q315" i="24"/>
  <c r="S315" i="24" s="1"/>
  <c r="U315" i="24" s="1"/>
  <c r="O315" i="24"/>
  <c r="M315" i="24"/>
  <c r="Q314" i="24"/>
  <c r="S314" i="24" s="1"/>
  <c r="U314" i="24" s="1"/>
  <c r="M314" i="24"/>
  <c r="Q313" i="24"/>
  <c r="P312" i="24"/>
  <c r="P310" i="24"/>
  <c r="P311" i="24" s="1"/>
  <c r="O310" i="24"/>
  <c r="Q309" i="24"/>
  <c r="S309" i="24" s="1"/>
  <c r="U309" i="24" s="1"/>
  <c r="I306" i="24"/>
  <c r="O306" i="24" s="1"/>
  <c r="O304" i="24"/>
  <c r="I304" i="24"/>
  <c r="I305" i="24" s="1"/>
  <c r="O305" i="24" s="1"/>
  <c r="I300" i="24"/>
  <c r="I301" i="24" s="1"/>
  <c r="I302" i="24" s="1"/>
  <c r="O302" i="24" s="1"/>
  <c r="O299" i="24"/>
  <c r="O297" i="24"/>
  <c r="O296" i="24"/>
  <c r="O295" i="24"/>
  <c r="O294" i="24"/>
  <c r="I292" i="24"/>
  <c r="O292" i="24" s="1"/>
  <c r="I291" i="24"/>
  <c r="O291" i="24" s="1"/>
  <c r="O290" i="24"/>
  <c r="I290" i="24"/>
  <c r="O289" i="24"/>
  <c r="Q278" i="24"/>
  <c r="Q273" i="24"/>
  <c r="M272" i="24"/>
  <c r="M271" i="24"/>
  <c r="Q271" i="24" s="1"/>
  <c r="S271" i="24" s="1"/>
  <c r="U271" i="24" s="1"/>
  <c r="O270" i="24"/>
  <c r="O271" i="24" s="1"/>
  <c r="O272" i="24" s="1"/>
  <c r="Q272" i="24" s="1"/>
  <c r="S272" i="24" s="1"/>
  <c r="U272" i="24" s="1"/>
  <c r="M270" i="24"/>
  <c r="Q270" i="24" s="1"/>
  <c r="S270" i="24" s="1"/>
  <c r="U270" i="24" s="1"/>
  <c r="Q269" i="24"/>
  <c r="S269" i="24" s="1"/>
  <c r="U269" i="24" s="1"/>
  <c r="M269" i="24"/>
  <c r="K256" i="24"/>
  <c r="N255" i="24"/>
  <c r="N256" i="24" s="1"/>
  <c r="N257" i="24" s="1"/>
  <c r="K255" i="24"/>
  <c r="K252" i="24"/>
  <c r="J252" i="24"/>
  <c r="M252" i="24" s="1"/>
  <c r="K251" i="24"/>
  <c r="J251" i="24"/>
  <c r="J256" i="24" s="1"/>
  <c r="J261" i="24" s="1"/>
  <c r="J266" i="24" s="1"/>
  <c r="K250" i="24"/>
  <c r="J250" i="24"/>
  <c r="M250" i="24" s="1"/>
  <c r="M249" i="24"/>
  <c r="K249" i="24"/>
  <c r="K254" i="24" s="1"/>
  <c r="J249" i="24"/>
  <c r="J254" i="24" s="1"/>
  <c r="J259" i="24" s="1"/>
  <c r="J264" i="24" s="1"/>
  <c r="M247" i="24"/>
  <c r="M246" i="24"/>
  <c r="M245" i="24"/>
  <c r="O245" i="24"/>
  <c r="O244" i="24"/>
  <c r="M244" i="24"/>
  <c r="O242" i="24"/>
  <c r="M242" i="24"/>
  <c r="O240" i="24"/>
  <c r="M240" i="24"/>
  <c r="S239" i="24"/>
  <c r="U239" i="24" s="1"/>
  <c r="Q239" i="24"/>
  <c r="J236" i="24"/>
  <c r="K235" i="24"/>
  <c r="K236" i="24" s="1"/>
  <c r="M236" i="24" s="1"/>
  <c r="Q236" i="24" s="1"/>
  <c r="S236" i="24" s="1"/>
  <c r="U236" i="24" s="1"/>
  <c r="J235" i="24"/>
  <c r="I235" i="24"/>
  <c r="I236" i="24" s="1"/>
  <c r="M234" i="24"/>
  <c r="Q234" i="24" s="1"/>
  <c r="S234" i="24" s="1"/>
  <c r="U234" i="24" s="1"/>
  <c r="S233" i="24"/>
  <c r="U233" i="24" s="1"/>
  <c r="Q233" i="24"/>
  <c r="Q231" i="24"/>
  <c r="S231" i="24" s="1"/>
  <c r="U231" i="24" s="1"/>
  <c r="Q230" i="24"/>
  <c r="S230" i="24" s="1"/>
  <c r="U230" i="24" s="1"/>
  <c r="Q229" i="24"/>
  <c r="S229" i="24" s="1"/>
  <c r="U229" i="24" s="1"/>
  <c r="K227" i="24"/>
  <c r="K228" i="24" s="1"/>
  <c r="J227" i="24"/>
  <c r="J228" i="24" s="1"/>
  <c r="J229" i="24" s="1"/>
  <c r="J230" i="24" s="1"/>
  <c r="J231" i="24" s="1"/>
  <c r="I227" i="24"/>
  <c r="I228" i="24" s="1"/>
  <c r="I229" i="24" s="1"/>
  <c r="I230" i="24" s="1"/>
  <c r="I231" i="24" s="1"/>
  <c r="O226" i="24"/>
  <c r="M226" i="24"/>
  <c r="Q224" i="24"/>
  <c r="S224" i="24" s="1"/>
  <c r="U224" i="24" s="1"/>
  <c r="Q223" i="24"/>
  <c r="S223" i="24" s="1"/>
  <c r="U223" i="24" s="1"/>
  <c r="Q222" i="24"/>
  <c r="S222" i="24" s="1"/>
  <c r="U222" i="24" s="1"/>
  <c r="U221" i="24"/>
  <c r="Q221" i="24"/>
  <c r="S221" i="24" s="1"/>
  <c r="M221" i="24"/>
  <c r="O220" i="24"/>
  <c r="J220" i="24"/>
  <c r="M220" i="24" s="1"/>
  <c r="O219" i="24"/>
  <c r="M219" i="24"/>
  <c r="Q219" i="24" s="1"/>
  <c r="S219" i="24" s="1"/>
  <c r="U219" i="24" s="1"/>
  <c r="Q217" i="24"/>
  <c r="S217" i="24" s="1"/>
  <c r="U217" i="24" s="1"/>
  <c r="O217" i="24"/>
  <c r="M217" i="24"/>
  <c r="M216" i="24"/>
  <c r="Q216" i="24" s="1"/>
  <c r="S216" i="24" s="1"/>
  <c r="U216" i="24" s="1"/>
  <c r="M215" i="24"/>
  <c r="Q215" i="24" s="1"/>
  <c r="S215" i="24" s="1"/>
  <c r="U215" i="24" s="1"/>
  <c r="M214" i="24"/>
  <c r="Q214" i="24" s="1"/>
  <c r="S214" i="24" s="1"/>
  <c r="U214" i="24" s="1"/>
  <c r="M212" i="24"/>
  <c r="Q212" i="24" s="1"/>
  <c r="S212" i="24" s="1"/>
  <c r="U212" i="24" s="1"/>
  <c r="M211" i="24"/>
  <c r="Q211" i="24" s="1"/>
  <c r="S211" i="24" s="1"/>
  <c r="U211" i="24" s="1"/>
  <c r="M210" i="24"/>
  <c r="Q210" i="24" s="1"/>
  <c r="S210" i="24" s="1"/>
  <c r="U210" i="24" s="1"/>
  <c r="M209" i="24"/>
  <c r="Q209" i="24" s="1"/>
  <c r="S209" i="24" s="1"/>
  <c r="U209" i="24" s="1"/>
  <c r="O207" i="24"/>
  <c r="M207" i="24"/>
  <c r="Q206" i="24"/>
  <c r="S206" i="24" s="1"/>
  <c r="U206" i="24" s="1"/>
  <c r="S204" i="24"/>
  <c r="U204" i="24" s="1"/>
  <c r="Q204" i="24"/>
  <c r="M202" i="24"/>
  <c r="Q202" i="24" s="1"/>
  <c r="S202" i="24" s="1"/>
  <c r="U202" i="24" s="1"/>
  <c r="M201" i="24"/>
  <c r="Q201" i="24" s="1"/>
  <c r="S201" i="24" s="1"/>
  <c r="U201" i="24" s="1"/>
  <c r="S199" i="24"/>
  <c r="U199" i="24" s="1"/>
  <c r="Q199" i="24"/>
  <c r="Q198" i="24"/>
  <c r="S198" i="24" s="1"/>
  <c r="U198" i="24" s="1"/>
  <c r="S197" i="24"/>
  <c r="U197" i="24" s="1"/>
  <c r="Q197" i="24"/>
  <c r="U195" i="24"/>
  <c r="Q195" i="24"/>
  <c r="S195" i="24" s="1"/>
  <c r="S194" i="24"/>
  <c r="U194" i="24" s="1"/>
  <c r="Q194" i="24"/>
  <c r="Q193" i="24"/>
  <c r="S193" i="24" s="1"/>
  <c r="U193" i="24" s="1"/>
  <c r="S192" i="24"/>
  <c r="U192" i="24" s="1"/>
  <c r="Q192" i="24"/>
  <c r="M191" i="24"/>
  <c r="Q191" i="24" s="1"/>
  <c r="S191" i="24" s="1"/>
  <c r="U191" i="24" s="1"/>
  <c r="O189" i="24"/>
  <c r="M189" i="24"/>
  <c r="Q189" i="24" s="1"/>
  <c r="S189" i="24" s="1"/>
  <c r="U189" i="24" s="1"/>
  <c r="S188" i="24"/>
  <c r="U188" i="24" s="1"/>
  <c r="Q188" i="24"/>
  <c r="Q186" i="24"/>
  <c r="S186" i="24" s="1"/>
  <c r="U186" i="24" s="1"/>
  <c r="Q184" i="24"/>
  <c r="S184" i="24" s="1"/>
  <c r="U184" i="24" s="1"/>
  <c r="M183" i="24"/>
  <c r="Q183" i="24" s="1"/>
  <c r="S183" i="24" s="1"/>
  <c r="U183" i="24" s="1"/>
  <c r="U181" i="24"/>
  <c r="Q181" i="24"/>
  <c r="S181" i="24" s="1"/>
  <c r="S180" i="24"/>
  <c r="U180" i="24" s="1"/>
  <c r="Q180" i="24"/>
  <c r="Q179" i="24"/>
  <c r="S179" i="24" s="1"/>
  <c r="U179" i="24" s="1"/>
  <c r="M179" i="24"/>
  <c r="M176" i="24"/>
  <c r="Q176" i="24" s="1"/>
  <c r="S176" i="24" s="1"/>
  <c r="U176" i="24" s="1"/>
  <c r="M175" i="24"/>
  <c r="Q175" i="24" s="1"/>
  <c r="S175" i="24" s="1"/>
  <c r="U175" i="24" s="1"/>
  <c r="Q174" i="24"/>
  <c r="S174" i="24" s="1"/>
  <c r="U174" i="24" s="1"/>
  <c r="M174" i="24"/>
  <c r="M173" i="24"/>
  <c r="Q173" i="24" s="1"/>
  <c r="S173" i="24" s="1"/>
  <c r="U173" i="24" s="1"/>
  <c r="M171" i="24"/>
  <c r="Q171" i="24" s="1"/>
  <c r="S171" i="24" s="1"/>
  <c r="U171" i="24" s="1"/>
  <c r="M170" i="24"/>
  <c r="Q170" i="24" s="1"/>
  <c r="S170" i="24" s="1"/>
  <c r="U170" i="24" s="1"/>
  <c r="Q168" i="24"/>
  <c r="S168" i="24" s="1"/>
  <c r="U168" i="24" s="1"/>
  <c r="M168" i="24"/>
  <c r="Q167" i="24"/>
  <c r="S167" i="24" s="1"/>
  <c r="U167" i="24" s="1"/>
  <c r="M167" i="24"/>
  <c r="Q166" i="24"/>
  <c r="S166" i="24" s="1"/>
  <c r="U166" i="24" s="1"/>
  <c r="M166" i="24"/>
  <c r="Q165" i="24"/>
  <c r="S165" i="24" s="1"/>
  <c r="U165" i="24" s="1"/>
  <c r="M163" i="24"/>
  <c r="Q163" i="24" s="1"/>
  <c r="S163" i="24" s="1"/>
  <c r="U163" i="24" s="1"/>
  <c r="M162" i="24"/>
  <c r="Q162" i="24" s="1"/>
  <c r="S162" i="24" s="1"/>
  <c r="U162" i="24" s="1"/>
  <c r="S161" i="24"/>
  <c r="U161" i="24" s="1"/>
  <c r="M161" i="24"/>
  <c r="Q161" i="24" s="1"/>
  <c r="S160" i="24"/>
  <c r="U160" i="24" s="1"/>
  <c r="Q160" i="24"/>
  <c r="U158" i="24"/>
  <c r="Q158" i="24"/>
  <c r="S158" i="24" s="1"/>
  <c r="M158" i="24"/>
  <c r="U157" i="24"/>
  <c r="Q157" i="24"/>
  <c r="S157" i="24" s="1"/>
  <c r="M157" i="24"/>
  <c r="U156" i="24"/>
  <c r="Q156" i="24"/>
  <c r="S156" i="24" s="1"/>
  <c r="M156" i="24"/>
  <c r="U155" i="24"/>
  <c r="Q155" i="24"/>
  <c r="S155" i="24" s="1"/>
  <c r="M155" i="24"/>
  <c r="U154" i="24"/>
  <c r="Q154" i="24"/>
  <c r="S154" i="24" s="1"/>
  <c r="M154" i="24"/>
  <c r="U153" i="24"/>
  <c r="Q153" i="24"/>
  <c r="S153" i="24" s="1"/>
  <c r="M153" i="24"/>
  <c r="U152" i="24"/>
  <c r="Q152" i="24"/>
  <c r="S152" i="24" s="1"/>
  <c r="M152" i="24"/>
  <c r="U151" i="24"/>
  <c r="Q151" i="24"/>
  <c r="S151" i="24" s="1"/>
  <c r="M151" i="24"/>
  <c r="U150" i="24"/>
  <c r="Q150" i="24"/>
  <c r="S150" i="24" s="1"/>
  <c r="M150" i="24"/>
  <c r="U149" i="24"/>
  <c r="Q149" i="24"/>
  <c r="S149" i="24" s="1"/>
  <c r="M149" i="24"/>
  <c r="U148" i="24"/>
  <c r="Q148" i="24"/>
  <c r="S148" i="24" s="1"/>
  <c r="M148" i="24"/>
  <c r="U147" i="24"/>
  <c r="Q147" i="24"/>
  <c r="S147" i="24" s="1"/>
  <c r="M147" i="24"/>
  <c r="U146" i="24"/>
  <c r="Q146" i="24"/>
  <c r="S146" i="24" s="1"/>
  <c r="S145" i="24"/>
  <c r="U145" i="24" s="1"/>
  <c r="Q145" i="24"/>
  <c r="O143" i="24"/>
  <c r="Q143" i="24" s="1"/>
  <c r="S143" i="24" s="1"/>
  <c r="U143" i="24" s="1"/>
  <c r="Q142" i="24"/>
  <c r="S142" i="24" s="1"/>
  <c r="U142" i="24" s="1"/>
  <c r="O141" i="24"/>
  <c r="Q141" i="24" s="1"/>
  <c r="S141" i="24" s="1"/>
  <c r="U141" i="24" s="1"/>
  <c r="S140" i="24"/>
  <c r="U140" i="24" s="1"/>
  <c r="Q140" i="24"/>
  <c r="O138" i="24"/>
  <c r="K137" i="24"/>
  <c r="J137" i="24"/>
  <c r="I137" i="24"/>
  <c r="O137" i="24" s="1"/>
  <c r="K136" i="24"/>
  <c r="J136" i="24"/>
  <c r="M136" i="24" s="1"/>
  <c r="Q136" i="24" s="1"/>
  <c r="S136" i="24" s="1"/>
  <c r="U136" i="24" s="1"/>
  <c r="K135" i="24"/>
  <c r="J135" i="24"/>
  <c r="M135" i="24" s="1"/>
  <c r="I135" i="24"/>
  <c r="M133" i="24"/>
  <c r="Q133" i="24" s="1"/>
  <c r="S133" i="24" s="1"/>
  <c r="U133" i="24" s="1"/>
  <c r="M132" i="24"/>
  <c r="Q132" i="24" s="1"/>
  <c r="S132" i="24" s="1"/>
  <c r="U132" i="24" s="1"/>
  <c r="I136" i="24"/>
  <c r="Q131" i="24"/>
  <c r="S131" i="24" s="1"/>
  <c r="U131" i="24" s="1"/>
  <c r="M131" i="24"/>
  <c r="Q130" i="24"/>
  <c r="S130" i="24" s="1"/>
  <c r="U130" i="24" s="1"/>
  <c r="S127" i="24"/>
  <c r="U127" i="24" s="1"/>
  <c r="Q127" i="24"/>
  <c r="J126" i="24"/>
  <c r="M126" i="24" s="1"/>
  <c r="Q126" i="24" s="1"/>
  <c r="S126" i="24" s="1"/>
  <c r="U126" i="24" s="1"/>
  <c r="J125" i="24"/>
  <c r="M125" i="24" s="1"/>
  <c r="Q125" i="24" s="1"/>
  <c r="S125" i="24" s="1"/>
  <c r="U125" i="24" s="1"/>
  <c r="U123" i="24"/>
  <c r="Q123" i="24"/>
  <c r="S123" i="24" s="1"/>
  <c r="S122" i="24"/>
  <c r="U122" i="24" s="1"/>
  <c r="Q122" i="24"/>
  <c r="I122" i="24"/>
  <c r="S121" i="24"/>
  <c r="U121" i="24" s="1"/>
  <c r="Q121" i="24"/>
  <c r="I121" i="24"/>
  <c r="S119" i="24"/>
  <c r="U119" i="24" s="1"/>
  <c r="Q119" i="24"/>
  <c r="Q118" i="24"/>
  <c r="S118" i="24" s="1"/>
  <c r="U118" i="24" s="1"/>
  <c r="Q117" i="24"/>
  <c r="S117" i="24" s="1"/>
  <c r="U117" i="24" s="1"/>
  <c r="Q115" i="24"/>
  <c r="S115" i="24" s="1"/>
  <c r="U115" i="24" s="1"/>
  <c r="Q114" i="24"/>
  <c r="I114" i="24"/>
  <c r="O113" i="24"/>
  <c r="M113" i="24"/>
  <c r="U111" i="24"/>
  <c r="Q111" i="24"/>
  <c r="S111" i="24" s="1"/>
  <c r="S110" i="24"/>
  <c r="U110" i="24" s="1"/>
  <c r="Q110" i="24"/>
  <c r="I110" i="24"/>
  <c r="S109" i="24"/>
  <c r="U109" i="24" s="1"/>
  <c r="Q109" i="24"/>
  <c r="I109" i="24"/>
  <c r="Q107" i="24"/>
  <c r="Q106" i="24"/>
  <c r="I106" i="24"/>
  <c r="I118" i="24" s="1"/>
  <c r="U105" i="24"/>
  <c r="Q105" i="24"/>
  <c r="S105" i="24" s="1"/>
  <c r="I105" i="24"/>
  <c r="I117" i="24" s="1"/>
  <c r="I102" i="24"/>
  <c r="M101" i="24"/>
  <c r="Q101" i="24" s="1"/>
  <c r="I101" i="24"/>
  <c r="M99" i="24"/>
  <c r="Q99" i="24" s="1"/>
  <c r="S99" i="24" s="1"/>
  <c r="U99" i="24" s="1"/>
  <c r="M98" i="24"/>
  <c r="Q98" i="24" s="1"/>
  <c r="S98" i="24" s="1"/>
  <c r="U98" i="24" s="1"/>
  <c r="Q97" i="24"/>
  <c r="S97" i="24" s="1"/>
  <c r="U97" i="24" s="1"/>
  <c r="M97" i="24"/>
  <c r="S95" i="24"/>
  <c r="U95" i="24" s="1"/>
  <c r="Q95" i="24"/>
  <c r="J94" i="24"/>
  <c r="J93" i="24"/>
  <c r="J97" i="24" s="1"/>
  <c r="Q91" i="24"/>
  <c r="S91" i="24" s="1"/>
  <c r="U91" i="24" s="1"/>
  <c r="S90" i="24"/>
  <c r="U90" i="24" s="1"/>
  <c r="Q90" i="24"/>
  <c r="I90" i="24"/>
  <c r="S89" i="24"/>
  <c r="U89" i="24" s="1"/>
  <c r="Q89" i="24"/>
  <c r="S87" i="24"/>
  <c r="U87" i="24" s="1"/>
  <c r="Q87" i="24"/>
  <c r="U86" i="24"/>
  <c r="Q86" i="24"/>
  <c r="S86" i="24" s="1"/>
  <c r="U85" i="24"/>
  <c r="Q85" i="24"/>
  <c r="S85" i="24" s="1"/>
  <c r="U83" i="24"/>
  <c r="Q83" i="24"/>
  <c r="S83" i="24" s="1"/>
  <c r="Q82" i="24"/>
  <c r="I82" i="24"/>
  <c r="O81" i="24"/>
  <c r="M81" i="24"/>
  <c r="Q81" i="24" s="1"/>
  <c r="S81" i="24" s="1"/>
  <c r="U81" i="24" s="1"/>
  <c r="U79" i="24"/>
  <c r="Q79" i="24"/>
  <c r="S79" i="24" s="1"/>
  <c r="S78" i="24"/>
  <c r="U78" i="24" s="1"/>
  <c r="Q78" i="24"/>
  <c r="I78" i="24"/>
  <c r="Q77" i="24"/>
  <c r="S77" i="24" s="1"/>
  <c r="U77" i="24" s="1"/>
  <c r="I77" i="24"/>
  <c r="I89" i="24" s="1"/>
  <c r="Q75" i="24"/>
  <c r="Q74" i="24"/>
  <c r="I74" i="24"/>
  <c r="I86" i="24" s="1"/>
  <c r="Q73" i="24"/>
  <c r="S73" i="24" s="1"/>
  <c r="U73" i="24" s="1"/>
  <c r="I73" i="24"/>
  <c r="I85" i="24" s="1"/>
  <c r="M70" i="24"/>
  <c r="Q70" i="24" s="1"/>
  <c r="I70" i="24"/>
  <c r="M69" i="24"/>
  <c r="Q69" i="24" s="1"/>
  <c r="I69" i="24"/>
  <c r="M67" i="24"/>
  <c r="Q67" i="24" s="1"/>
  <c r="S67" i="24" s="1"/>
  <c r="U67" i="24" s="1"/>
  <c r="M66" i="24"/>
  <c r="Q66" i="24" s="1"/>
  <c r="S66" i="24" s="1"/>
  <c r="U66" i="24" s="1"/>
  <c r="Q65" i="24"/>
  <c r="S65" i="24" s="1"/>
  <c r="U65" i="24" s="1"/>
  <c r="M65" i="24"/>
  <c r="Q62" i="24"/>
  <c r="S62" i="24" s="1"/>
  <c r="U62" i="24" s="1"/>
  <c r="O62" i="24"/>
  <c r="O61" i="24"/>
  <c r="I61" i="24"/>
  <c r="Q60" i="24"/>
  <c r="S60" i="24" s="1"/>
  <c r="U60" i="24" s="1"/>
  <c r="I60" i="24"/>
  <c r="S59" i="24"/>
  <c r="U59" i="24" s="1"/>
  <c r="Q59" i="24"/>
  <c r="I59" i="24"/>
  <c r="O58" i="24"/>
  <c r="I58" i="24"/>
  <c r="O57" i="24"/>
  <c r="J57" i="24"/>
  <c r="J58" i="24" s="1"/>
  <c r="I57" i="24"/>
  <c r="U55" i="24"/>
  <c r="S55" i="24"/>
  <c r="Q55" i="24"/>
  <c r="I55" i="24"/>
  <c r="Q54" i="24"/>
  <c r="S54" i="24" s="1"/>
  <c r="U54" i="24" s="1"/>
  <c r="O51" i="24"/>
  <c r="J51" i="24"/>
  <c r="M51" i="24" s="1"/>
  <c r="Q51" i="24" s="1"/>
  <c r="S51" i="24" s="1"/>
  <c r="U51" i="24" s="1"/>
  <c r="I51" i="24"/>
  <c r="U50" i="24"/>
  <c r="S50" i="24"/>
  <c r="Q50" i="24"/>
  <c r="I50" i="24"/>
  <c r="Q49" i="24"/>
  <c r="S49" i="24" s="1"/>
  <c r="U49" i="24" s="1"/>
  <c r="I49" i="24"/>
  <c r="O48" i="24"/>
  <c r="J48" i="24"/>
  <c r="M48" i="24" s="1"/>
  <c r="Q48" i="24" s="1"/>
  <c r="S48" i="24" s="1"/>
  <c r="U48" i="24" s="1"/>
  <c r="I48" i="24"/>
  <c r="O47" i="24"/>
  <c r="M47" i="24"/>
  <c r="Q47" i="24" s="1"/>
  <c r="S47" i="24" s="1"/>
  <c r="U47" i="24" s="1"/>
  <c r="I47" i="24"/>
  <c r="S45" i="24"/>
  <c r="U45" i="24" s="1"/>
  <c r="Q45" i="24"/>
  <c r="I45" i="24"/>
  <c r="Q44" i="24"/>
  <c r="S44" i="24" s="1"/>
  <c r="U44" i="24" s="1"/>
  <c r="O41" i="24"/>
  <c r="O40" i="24"/>
  <c r="J40" i="24"/>
  <c r="J41" i="24" s="1"/>
  <c r="O39" i="24"/>
  <c r="M39" i="24"/>
  <c r="Q39" i="24" s="1"/>
  <c r="S39" i="24" s="1"/>
  <c r="U39" i="24" s="1"/>
  <c r="S38" i="24"/>
  <c r="U38" i="24" s="1"/>
  <c r="Q38" i="24"/>
  <c r="Q37" i="24"/>
  <c r="S37" i="24" s="1"/>
  <c r="U37" i="24" s="1"/>
  <c r="S36" i="24"/>
  <c r="U36" i="24" s="1"/>
  <c r="Q36" i="24"/>
  <c r="Q35" i="24"/>
  <c r="S35" i="24" s="1"/>
  <c r="U35" i="24" s="1"/>
  <c r="S34" i="24"/>
  <c r="U34" i="24" s="1"/>
  <c r="Q34" i="24"/>
  <c r="Q33" i="24"/>
  <c r="S33" i="24" s="1"/>
  <c r="U33" i="24" s="1"/>
  <c r="S32" i="24"/>
  <c r="U32" i="24" s="1"/>
  <c r="Q32" i="24"/>
  <c r="Q31" i="24"/>
  <c r="S31" i="24" s="1"/>
  <c r="U31" i="24" s="1"/>
  <c r="O30" i="24"/>
  <c r="J30" i="24"/>
  <c r="M30" i="24" s="1"/>
  <c r="S29" i="24"/>
  <c r="U29" i="24" s="1"/>
  <c r="O28" i="24"/>
  <c r="M28" i="24"/>
  <c r="Q27" i="24"/>
  <c r="S27" i="24" s="1"/>
  <c r="U27" i="24" s="1"/>
  <c r="D3" i="24"/>
  <c r="F238" i="24" s="1"/>
  <c r="D2" i="24"/>
  <c r="C2" i="24"/>
  <c r="C1" i="24"/>
  <c r="M226" i="20"/>
  <c r="G45" i="18"/>
  <c r="G44" i="18"/>
  <c r="G43" i="18"/>
  <c r="H42" i="18"/>
  <c r="G42" i="18"/>
  <c r="G41" i="18"/>
  <c r="G40" i="18"/>
  <c r="H39" i="18"/>
  <c r="H47" i="18" s="1"/>
  <c r="G39" i="18"/>
  <c r="H31" i="18"/>
  <c r="G31" i="18"/>
  <c r="H30" i="18"/>
  <c r="I30" i="18" s="1"/>
  <c r="G30" i="18"/>
  <c r="G29" i="18"/>
  <c r="H28" i="18"/>
  <c r="I28" i="18" s="1"/>
  <c r="G28" i="18"/>
  <c r="F24" i="18"/>
  <c r="G24" i="18" s="1"/>
  <c r="I19" i="18"/>
  <c r="H19" i="18"/>
  <c r="G19" i="18"/>
  <c r="F19" i="18"/>
  <c r="I14" i="18"/>
  <c r="H14" i="18"/>
  <c r="G14" i="18"/>
  <c r="F14" i="18"/>
  <c r="H8" i="18"/>
  <c r="G8" i="18"/>
  <c r="F8" i="18"/>
  <c r="H7" i="18"/>
  <c r="G7" i="18"/>
  <c r="F7" i="18"/>
  <c r="I6" i="18"/>
  <c r="H6" i="18"/>
  <c r="G6" i="18"/>
  <c r="F6" i="18"/>
  <c r="M15" i="4"/>
  <c r="U8" i="4"/>
  <c r="T8" i="4"/>
  <c r="S8" i="4"/>
  <c r="R8" i="4"/>
  <c r="W8" i="4" s="1"/>
  <c r="Q8" i="4"/>
  <c r="P8" i="4"/>
  <c r="U7" i="4"/>
  <c r="T7" i="4"/>
  <c r="S7" i="4"/>
  <c r="R7" i="4"/>
  <c r="W7" i="4" s="1"/>
  <c r="Q7" i="4"/>
  <c r="P7" i="4"/>
  <c r="U6" i="4"/>
  <c r="U15" i="4" s="1"/>
  <c r="T6" i="4"/>
  <c r="S6" i="4"/>
  <c r="R6" i="4"/>
  <c r="Q6" i="4"/>
  <c r="Q15" i="4" s="1"/>
  <c r="P6" i="4"/>
  <c r="W6" i="4" s="1"/>
  <c r="U5" i="4"/>
  <c r="T5" i="4"/>
  <c r="S5" i="4"/>
  <c r="R5" i="4"/>
  <c r="Q5" i="4"/>
  <c r="P5" i="4"/>
  <c r="O5" i="4"/>
  <c r="N5" i="4"/>
  <c r="W5" i="4" s="1"/>
  <c r="M5" i="4"/>
  <c r="U4" i="4"/>
  <c r="T4" i="4"/>
  <c r="S4" i="4"/>
  <c r="R4" i="4"/>
  <c r="Q4" i="4"/>
  <c r="P4" i="4"/>
  <c r="O4" i="4"/>
  <c r="N4" i="4"/>
  <c r="W4" i="4" s="1"/>
  <c r="M4" i="4"/>
  <c r="U3" i="4"/>
  <c r="T3" i="4"/>
  <c r="T15" i="4" s="1"/>
  <c r="S3" i="4"/>
  <c r="S15" i="4" s="1"/>
  <c r="R3" i="4"/>
  <c r="R15" i="4" s="1"/>
  <c r="Q3" i="4"/>
  <c r="P3" i="4"/>
  <c r="P15" i="4" s="1"/>
  <c r="O3" i="4"/>
  <c r="O15" i="4" s="1"/>
  <c r="N3" i="4"/>
  <c r="W3" i="4" s="1"/>
  <c r="M3" i="4"/>
  <c r="I425" i="8"/>
  <c r="G424" i="8"/>
  <c r="I424" i="8" s="1"/>
  <c r="I423" i="8"/>
  <c r="I422" i="8"/>
  <c r="D419" i="8"/>
  <c r="I412" i="8"/>
  <c r="I411" i="8"/>
  <c r="D408" i="8"/>
  <c r="L403" i="8"/>
  <c r="J403" i="8"/>
  <c r="N403" i="8" s="1"/>
  <c r="P403" i="8" s="1"/>
  <c r="P402" i="8"/>
  <c r="N402" i="8"/>
  <c r="P399" i="8"/>
  <c r="N399" i="8"/>
  <c r="L399" i="8"/>
  <c r="J399" i="8"/>
  <c r="P398" i="8"/>
  <c r="N398" i="8"/>
  <c r="L398" i="8"/>
  <c r="J398" i="8"/>
  <c r="P397" i="8"/>
  <c r="N397" i="8"/>
  <c r="L397" i="8"/>
  <c r="J397" i="8"/>
  <c r="P396" i="8"/>
  <c r="N396" i="8"/>
  <c r="L396" i="8"/>
  <c r="J396" i="8"/>
  <c r="P395" i="8"/>
  <c r="N395" i="8"/>
  <c r="L395" i="8"/>
  <c r="J395" i="8"/>
  <c r="P394" i="8"/>
  <c r="P400" i="8" s="1"/>
  <c r="N394" i="8"/>
  <c r="L394" i="8"/>
  <c r="J394" i="8"/>
  <c r="L391" i="8"/>
  <c r="J391" i="8"/>
  <c r="N391" i="8" s="1"/>
  <c r="P391" i="8" s="1"/>
  <c r="L390" i="8"/>
  <c r="J390" i="8"/>
  <c r="N390" i="8" s="1"/>
  <c r="P390" i="8" s="1"/>
  <c r="L389" i="8"/>
  <c r="J389" i="8"/>
  <c r="N389" i="8" s="1"/>
  <c r="P389" i="8" s="1"/>
  <c r="L388" i="8"/>
  <c r="J388" i="8"/>
  <c r="N388" i="8" s="1"/>
  <c r="P388" i="8" s="1"/>
  <c r="L387" i="8"/>
  <c r="J387" i="8"/>
  <c r="N387" i="8" s="1"/>
  <c r="P387" i="8" s="1"/>
  <c r="L386" i="8"/>
  <c r="J386" i="8"/>
  <c r="N386" i="8" s="1"/>
  <c r="P386" i="8" s="1"/>
  <c r="J383" i="8"/>
  <c r="J382" i="8"/>
  <c r="J381" i="8"/>
  <c r="J380" i="8"/>
  <c r="J379" i="8"/>
  <c r="J378" i="8"/>
  <c r="L375" i="8"/>
  <c r="N375" i="8" s="1"/>
  <c r="P375" i="8" s="1"/>
  <c r="L374" i="8"/>
  <c r="N374" i="8" s="1"/>
  <c r="P374" i="8" s="1"/>
  <c r="L371" i="8"/>
  <c r="N371" i="8" s="1"/>
  <c r="P371" i="8" s="1"/>
  <c r="L370" i="8"/>
  <c r="N370" i="8" s="1"/>
  <c r="P370" i="8" s="1"/>
  <c r="P367" i="8"/>
  <c r="L367" i="8"/>
  <c r="N367" i="8" s="1"/>
  <c r="N366" i="8"/>
  <c r="P366" i="8" s="1"/>
  <c r="L366" i="8"/>
  <c r="L363" i="8"/>
  <c r="N363" i="8" s="1"/>
  <c r="P363" i="8" s="1"/>
  <c r="L362" i="8"/>
  <c r="N362" i="8" s="1"/>
  <c r="P362" i="8" s="1"/>
  <c r="P359" i="8"/>
  <c r="L359" i="8"/>
  <c r="N359" i="8" s="1"/>
  <c r="N358" i="8"/>
  <c r="P358" i="8" s="1"/>
  <c r="L358" i="8"/>
  <c r="L355" i="8"/>
  <c r="N355" i="8" s="1"/>
  <c r="P355" i="8" s="1"/>
  <c r="L354" i="8"/>
  <c r="N354" i="8" s="1"/>
  <c r="P354" i="8" s="1"/>
  <c r="P351" i="8"/>
  <c r="L351" i="8"/>
  <c r="N351" i="8" s="1"/>
  <c r="N350" i="8"/>
  <c r="P350" i="8" s="1"/>
  <c r="L350" i="8"/>
  <c r="L347" i="8"/>
  <c r="N347" i="8" s="1"/>
  <c r="P347" i="8" s="1"/>
  <c r="J347" i="8"/>
  <c r="N346" i="8"/>
  <c r="P346" i="8" s="1"/>
  <c r="L346" i="8"/>
  <c r="J346" i="8"/>
  <c r="H346" i="8"/>
  <c r="J343" i="8"/>
  <c r="H342" i="8"/>
  <c r="J342" i="8" s="1"/>
  <c r="P339" i="8"/>
  <c r="N339" i="8"/>
  <c r="L339" i="8"/>
  <c r="N338" i="8"/>
  <c r="P338" i="8" s="1"/>
  <c r="L338" i="8"/>
  <c r="P333" i="8"/>
  <c r="N333" i="8"/>
  <c r="L333" i="8"/>
  <c r="P332" i="8"/>
  <c r="N332" i="8"/>
  <c r="L332" i="8"/>
  <c r="L330" i="8"/>
  <c r="N330" i="8" s="1"/>
  <c r="P330" i="8" s="1"/>
  <c r="L329" i="8"/>
  <c r="N329" i="8" s="1"/>
  <c r="P329" i="8" s="1"/>
  <c r="P327" i="8"/>
  <c r="N327" i="8"/>
  <c r="J327" i="8"/>
  <c r="P326" i="8"/>
  <c r="N326" i="8"/>
  <c r="L326" i="8"/>
  <c r="J326" i="8"/>
  <c r="P325" i="8"/>
  <c r="N325" i="8"/>
  <c r="J325" i="8"/>
  <c r="L324" i="8"/>
  <c r="N324" i="8" s="1"/>
  <c r="P324" i="8" s="1"/>
  <c r="J324" i="8"/>
  <c r="J323" i="8"/>
  <c r="N322" i="8"/>
  <c r="P322" i="8" s="1"/>
  <c r="J322" i="8"/>
  <c r="P321" i="8"/>
  <c r="N321" i="8"/>
  <c r="I320" i="8"/>
  <c r="J320" i="8" s="1"/>
  <c r="J319" i="8"/>
  <c r="J318" i="8"/>
  <c r="J317" i="8"/>
  <c r="L316" i="8"/>
  <c r="J316" i="8"/>
  <c r="N316" i="8" s="1"/>
  <c r="P316" i="8" s="1"/>
  <c r="L315" i="8"/>
  <c r="J315" i="8"/>
  <c r="N315" i="8" s="1"/>
  <c r="P315" i="8" s="1"/>
  <c r="P314" i="8"/>
  <c r="L314" i="8"/>
  <c r="J314" i="8"/>
  <c r="N314" i="8" s="1"/>
  <c r="P313" i="8"/>
  <c r="J313" i="8"/>
  <c r="N313" i="8" s="1"/>
  <c r="P312" i="8"/>
  <c r="N312" i="8"/>
  <c r="L312" i="8"/>
  <c r="J312" i="8"/>
  <c r="P311" i="8"/>
  <c r="N311" i="8"/>
  <c r="L311" i="8"/>
  <c r="J311" i="8"/>
  <c r="P310" i="8"/>
  <c r="N310" i="8"/>
  <c r="L310" i="8"/>
  <c r="J310" i="8"/>
  <c r="J309" i="8"/>
  <c r="P308" i="8"/>
  <c r="N308" i="8"/>
  <c r="L308" i="8"/>
  <c r="J308" i="8"/>
  <c r="J307" i="8"/>
  <c r="P306" i="8"/>
  <c r="N306" i="8"/>
  <c r="L306" i="8"/>
  <c r="J306" i="8"/>
  <c r="N305" i="8"/>
  <c r="P305" i="8" s="1"/>
  <c r="L305" i="8"/>
  <c r="J305" i="8"/>
  <c r="N304" i="8"/>
  <c r="P304" i="8" s="1"/>
  <c r="L304" i="8"/>
  <c r="J304" i="8"/>
  <c r="N303" i="8"/>
  <c r="P303" i="8" s="1"/>
  <c r="L303" i="8"/>
  <c r="J303" i="8"/>
  <c r="N301" i="8"/>
  <c r="P301" i="8" s="1"/>
  <c r="L300" i="8"/>
  <c r="J300" i="8"/>
  <c r="I300" i="8"/>
  <c r="N299" i="8"/>
  <c r="P299" i="8" s="1"/>
  <c r="J299" i="8"/>
  <c r="J298" i="8"/>
  <c r="N298" i="8" s="1"/>
  <c r="P298" i="8" s="1"/>
  <c r="P297" i="8"/>
  <c r="N297" i="8"/>
  <c r="J297" i="8"/>
  <c r="N295" i="8"/>
  <c r="P295" i="8" s="1"/>
  <c r="L291" i="8"/>
  <c r="J291" i="8"/>
  <c r="L290" i="8"/>
  <c r="J290" i="8"/>
  <c r="N290" i="8" s="1"/>
  <c r="P290" i="8" s="1"/>
  <c r="I290" i="8"/>
  <c r="N289" i="8"/>
  <c r="P289" i="8" s="1"/>
  <c r="L289" i="8"/>
  <c r="J289" i="8"/>
  <c r="N288" i="8"/>
  <c r="P288" i="8" s="1"/>
  <c r="L288" i="8"/>
  <c r="J288" i="8"/>
  <c r="L287" i="8"/>
  <c r="N287" i="8" s="1"/>
  <c r="P287" i="8" s="1"/>
  <c r="J287" i="8"/>
  <c r="L285" i="8"/>
  <c r="N285" i="8" s="1"/>
  <c r="P285" i="8" s="1"/>
  <c r="J285" i="8"/>
  <c r="J281" i="8"/>
  <c r="L280" i="8"/>
  <c r="J280" i="8"/>
  <c r="I280" i="8"/>
  <c r="L279" i="8"/>
  <c r="J279" i="8"/>
  <c r="L278" i="8"/>
  <c r="J278" i="8"/>
  <c r="N278" i="8" s="1"/>
  <c r="N277" i="8"/>
  <c r="L277" i="8"/>
  <c r="J277" i="8"/>
  <c r="J275" i="8"/>
  <c r="J270" i="8"/>
  <c r="P269" i="8"/>
  <c r="N269" i="8"/>
  <c r="L268" i="8"/>
  <c r="J268" i="8"/>
  <c r="N268" i="8" s="1"/>
  <c r="P268" i="8" s="1"/>
  <c r="L267" i="8"/>
  <c r="J267" i="8"/>
  <c r="J266" i="8"/>
  <c r="J265" i="8"/>
  <c r="G265" i="8"/>
  <c r="L264" i="8"/>
  <c r="N264" i="8" s="1"/>
  <c r="P264" i="8" s="1"/>
  <c r="J264" i="8"/>
  <c r="G264" i="8"/>
  <c r="N263" i="8"/>
  <c r="P263" i="8" s="1"/>
  <c r="L263" i="8"/>
  <c r="G263" i="8"/>
  <c r="J263" i="8" s="1"/>
  <c r="P262" i="8"/>
  <c r="L262" i="8"/>
  <c r="J262" i="8"/>
  <c r="N262" i="8" s="1"/>
  <c r="L261" i="8"/>
  <c r="J261" i="8"/>
  <c r="N261" i="8" s="1"/>
  <c r="P261" i="8" s="1"/>
  <c r="J260" i="8"/>
  <c r="J259" i="8"/>
  <c r="L258" i="8"/>
  <c r="J258" i="8"/>
  <c r="L257" i="8"/>
  <c r="J257" i="8"/>
  <c r="J256" i="8"/>
  <c r="N253" i="8"/>
  <c r="P253" i="8" s="1"/>
  <c r="N252" i="8"/>
  <c r="P252" i="8" s="1"/>
  <c r="N251" i="8"/>
  <c r="P251" i="8" s="1"/>
  <c r="J250" i="8"/>
  <c r="N249" i="8"/>
  <c r="P249" i="8" s="1"/>
  <c r="L248" i="8"/>
  <c r="L247" i="8"/>
  <c r="J246" i="8"/>
  <c r="J245" i="8"/>
  <c r="J244" i="8"/>
  <c r="J243" i="8"/>
  <c r="L239" i="8"/>
  <c r="J239" i="8"/>
  <c r="J238" i="8"/>
  <c r="L237" i="8"/>
  <c r="J237" i="8"/>
  <c r="J236" i="8"/>
  <c r="N235" i="8"/>
  <c r="P235" i="8" s="1"/>
  <c r="N234" i="8"/>
  <c r="P234" i="8" s="1"/>
  <c r="N233" i="8"/>
  <c r="L229" i="8"/>
  <c r="N229" i="8" s="1"/>
  <c r="P229" i="8" s="1"/>
  <c r="J229" i="8"/>
  <c r="L228" i="8"/>
  <c r="N228" i="8" s="1"/>
  <c r="P228" i="8" s="1"/>
  <c r="J228" i="8"/>
  <c r="L227" i="8"/>
  <c r="N227" i="8" s="1"/>
  <c r="P227" i="8" s="1"/>
  <c r="J227" i="8"/>
  <c r="J226" i="8"/>
  <c r="L225" i="8"/>
  <c r="N225" i="8" s="1"/>
  <c r="P225" i="8" s="1"/>
  <c r="J225" i="8"/>
  <c r="L224" i="8"/>
  <c r="N224" i="8" s="1"/>
  <c r="P224" i="8" s="1"/>
  <c r="J224" i="8"/>
  <c r="N221" i="8"/>
  <c r="P221" i="8" s="1"/>
  <c r="L220" i="8"/>
  <c r="N220" i="8" s="1"/>
  <c r="P220" i="8" s="1"/>
  <c r="N219" i="8"/>
  <c r="P219" i="8" s="1"/>
  <c r="L219" i="8"/>
  <c r="J219" i="8"/>
  <c r="J218" i="8"/>
  <c r="N217" i="8"/>
  <c r="P217" i="8" s="1"/>
  <c r="L217" i="8"/>
  <c r="J217" i="8"/>
  <c r="J216" i="8"/>
  <c r="N215" i="8"/>
  <c r="P215" i="8" s="1"/>
  <c r="L214" i="8"/>
  <c r="J214" i="8"/>
  <c r="L213" i="8"/>
  <c r="J213" i="8"/>
  <c r="N213" i="8" s="1"/>
  <c r="P210" i="8"/>
  <c r="N210" i="8"/>
  <c r="L209" i="8"/>
  <c r="N209" i="8" s="1"/>
  <c r="P209" i="8" s="1"/>
  <c r="J209" i="8"/>
  <c r="N208" i="8"/>
  <c r="P208" i="8" s="1"/>
  <c r="L208" i="8"/>
  <c r="J208" i="8"/>
  <c r="N207" i="8"/>
  <c r="P207" i="8" s="1"/>
  <c r="L206" i="8"/>
  <c r="J206" i="8"/>
  <c r="N206" i="8" s="1"/>
  <c r="P206" i="8" s="1"/>
  <c r="P205" i="8"/>
  <c r="L205" i="8"/>
  <c r="J205" i="8"/>
  <c r="N205" i="8" s="1"/>
  <c r="L204" i="8"/>
  <c r="J204" i="8"/>
  <c r="N204" i="8" s="1"/>
  <c r="P204" i="8" s="1"/>
  <c r="L203" i="8"/>
  <c r="J203" i="8"/>
  <c r="N203" i="8" s="1"/>
  <c r="P203" i="8" s="1"/>
  <c r="J202" i="8"/>
  <c r="J199" i="8"/>
  <c r="H199" i="8"/>
  <c r="J198" i="8"/>
  <c r="H198" i="8"/>
  <c r="H197" i="8"/>
  <c r="J197" i="8" s="1"/>
  <c r="H196" i="8"/>
  <c r="J196" i="8" s="1"/>
  <c r="N195" i="8"/>
  <c r="P195" i="8" s="1"/>
  <c r="N194" i="8"/>
  <c r="P194" i="8" s="1"/>
  <c r="N193" i="8"/>
  <c r="P193" i="8" s="1"/>
  <c r="N192" i="8"/>
  <c r="L188" i="8"/>
  <c r="L186" i="8"/>
  <c r="L184" i="8"/>
  <c r="L182" i="8"/>
  <c r="L180" i="8"/>
  <c r="G180" i="8"/>
  <c r="G181" i="8" s="1"/>
  <c r="L179" i="8"/>
  <c r="N179" i="8" s="1"/>
  <c r="P179" i="8" s="1"/>
  <c r="G176" i="8"/>
  <c r="G175" i="8"/>
  <c r="L174" i="8"/>
  <c r="J174" i="8"/>
  <c r="N174" i="8" s="1"/>
  <c r="P174" i="8" s="1"/>
  <c r="G174" i="8"/>
  <c r="J173" i="8"/>
  <c r="G173" i="8"/>
  <c r="N172" i="8"/>
  <c r="P172" i="8" s="1"/>
  <c r="L172" i="8"/>
  <c r="J172" i="8"/>
  <c r="G172" i="8"/>
  <c r="J171" i="8"/>
  <c r="G171" i="8"/>
  <c r="N170" i="8"/>
  <c r="P170" i="8" s="1"/>
  <c r="J170" i="8"/>
  <c r="G170" i="8"/>
  <c r="L169" i="8"/>
  <c r="N169" i="8" s="1"/>
  <c r="P169" i="8" s="1"/>
  <c r="J169" i="8"/>
  <c r="G169" i="8"/>
  <c r="L168" i="8"/>
  <c r="N168" i="8" s="1"/>
  <c r="P168" i="8" s="1"/>
  <c r="J168" i="8"/>
  <c r="G168" i="8"/>
  <c r="P165" i="8"/>
  <c r="N165" i="8"/>
  <c r="L164" i="8"/>
  <c r="N164" i="8" s="1"/>
  <c r="P164" i="8" s="1"/>
  <c r="J164" i="8"/>
  <c r="L163" i="8"/>
  <c r="J163" i="8"/>
  <c r="N163" i="8" s="1"/>
  <c r="P163" i="8" s="1"/>
  <c r="G163" i="8"/>
  <c r="G164" i="8" s="1"/>
  <c r="G165" i="8" s="1"/>
  <c r="L162" i="8"/>
  <c r="N162" i="8" s="1"/>
  <c r="P162" i="8" s="1"/>
  <c r="L159" i="8"/>
  <c r="J159" i="8"/>
  <c r="N159" i="8" s="1"/>
  <c r="P159" i="8" s="1"/>
  <c r="L158" i="8"/>
  <c r="J158" i="8"/>
  <c r="N158" i="8" s="1"/>
  <c r="P158" i="8" s="1"/>
  <c r="L157" i="8"/>
  <c r="J157" i="8"/>
  <c r="N157" i="8" s="1"/>
  <c r="P157" i="8" s="1"/>
  <c r="L156" i="8"/>
  <c r="J156" i="8"/>
  <c r="N156" i="8" s="1"/>
  <c r="P156" i="8" s="1"/>
  <c r="J155" i="8"/>
  <c r="L154" i="8"/>
  <c r="J154" i="8"/>
  <c r="N154" i="8" s="1"/>
  <c r="P154" i="8" s="1"/>
  <c r="L153" i="8"/>
  <c r="J153" i="8"/>
  <c r="N153" i="8" s="1"/>
  <c r="P153" i="8" s="1"/>
  <c r="J152" i="8"/>
  <c r="N147" i="8"/>
  <c r="P147" i="8" s="1"/>
  <c r="P144" i="8"/>
  <c r="N144" i="8"/>
  <c r="J143" i="8"/>
  <c r="L142" i="8"/>
  <c r="N142" i="8" s="1"/>
  <c r="P142" i="8" s="1"/>
  <c r="J142" i="8"/>
  <c r="J139" i="8"/>
  <c r="L138" i="8"/>
  <c r="N138" i="8" s="1"/>
  <c r="P138" i="8" s="1"/>
  <c r="J138" i="8"/>
  <c r="J137" i="8"/>
  <c r="P136" i="8"/>
  <c r="N136" i="8"/>
  <c r="P135" i="8"/>
  <c r="N135" i="8"/>
  <c r="P134" i="8"/>
  <c r="N134" i="8"/>
  <c r="P133" i="8"/>
  <c r="N133" i="8"/>
  <c r="N132" i="8"/>
  <c r="P132" i="8" s="1"/>
  <c r="P129" i="8"/>
  <c r="L128" i="8"/>
  <c r="L126" i="8"/>
  <c r="L124" i="8"/>
  <c r="L123" i="8"/>
  <c r="L122" i="8"/>
  <c r="G122" i="8"/>
  <c r="G123" i="8" s="1"/>
  <c r="J121" i="8"/>
  <c r="J118" i="8"/>
  <c r="N118" i="8" s="1"/>
  <c r="P118" i="8" s="1"/>
  <c r="L117" i="8"/>
  <c r="J117" i="8"/>
  <c r="N117" i="8" s="1"/>
  <c r="P117" i="8" s="1"/>
  <c r="J116" i="8"/>
  <c r="L115" i="8"/>
  <c r="J115" i="8"/>
  <c r="N115" i="8" s="1"/>
  <c r="P115" i="8" s="1"/>
  <c r="J114" i="8"/>
  <c r="L113" i="8"/>
  <c r="J113" i="8"/>
  <c r="N113" i="8" s="1"/>
  <c r="P113" i="8" s="1"/>
  <c r="J110" i="8"/>
  <c r="F109" i="8"/>
  <c r="L106" i="8"/>
  <c r="J106" i="8"/>
  <c r="N106" i="8" s="1"/>
  <c r="P106" i="8" s="1"/>
  <c r="L105" i="8"/>
  <c r="J105" i="8"/>
  <c r="N105" i="8" s="1"/>
  <c r="P105" i="8" s="1"/>
  <c r="J102" i="8"/>
  <c r="J101" i="8"/>
  <c r="L98" i="8"/>
  <c r="J98" i="8"/>
  <c r="N98" i="8" s="1"/>
  <c r="P98" i="8" s="1"/>
  <c r="L97" i="8"/>
  <c r="J97" i="8"/>
  <c r="N97" i="8" s="1"/>
  <c r="P97" i="8" s="1"/>
  <c r="J95" i="8"/>
  <c r="N95" i="8" s="1"/>
  <c r="P95" i="8" s="1"/>
  <c r="P94" i="8"/>
  <c r="J94" i="8"/>
  <c r="N94" i="8" s="1"/>
  <c r="J93" i="8"/>
  <c r="N93" i="8" s="1"/>
  <c r="P93" i="8" s="1"/>
  <c r="N92" i="8"/>
  <c r="P92" i="8" s="1"/>
  <c r="J92" i="8"/>
  <c r="P90" i="8"/>
  <c r="P89" i="8"/>
  <c r="P88" i="8"/>
  <c r="P87" i="8"/>
  <c r="L85" i="8"/>
  <c r="N85" i="8" s="1"/>
  <c r="P85" i="8" s="1"/>
  <c r="N84" i="8"/>
  <c r="P84" i="8" s="1"/>
  <c r="L84" i="8"/>
  <c r="L83" i="8"/>
  <c r="N83" i="8" s="1"/>
  <c r="P83" i="8" s="1"/>
  <c r="N82" i="8"/>
  <c r="P82" i="8" s="1"/>
  <c r="L82" i="8"/>
  <c r="L80" i="8"/>
  <c r="J80" i="8"/>
  <c r="N80" i="8" s="1"/>
  <c r="P80" i="8" s="1"/>
  <c r="L79" i="8"/>
  <c r="J79" i="8"/>
  <c r="N79" i="8" s="1"/>
  <c r="P79" i="8" s="1"/>
  <c r="L78" i="8"/>
  <c r="J78" i="8"/>
  <c r="N78" i="8" s="1"/>
  <c r="P78" i="8" s="1"/>
  <c r="L77" i="8"/>
  <c r="J77" i="8"/>
  <c r="N77" i="8" s="1"/>
  <c r="P77" i="8" s="1"/>
  <c r="J75" i="8"/>
  <c r="J74" i="8"/>
  <c r="J73" i="8"/>
  <c r="J72" i="8"/>
  <c r="L70" i="8"/>
  <c r="J70" i="8"/>
  <c r="N70" i="8" s="1"/>
  <c r="P70" i="8" s="1"/>
  <c r="L69" i="8"/>
  <c r="J69" i="8"/>
  <c r="N69" i="8" s="1"/>
  <c r="P69" i="8" s="1"/>
  <c r="L68" i="8"/>
  <c r="J68" i="8"/>
  <c r="N68" i="8" s="1"/>
  <c r="P68" i="8" s="1"/>
  <c r="L67" i="8"/>
  <c r="J67" i="8"/>
  <c r="N67" i="8" s="1"/>
  <c r="P67" i="8" s="1"/>
  <c r="J65" i="8"/>
  <c r="J64" i="8"/>
  <c r="J63" i="8"/>
  <c r="J62" i="8"/>
  <c r="N60" i="8"/>
  <c r="P60" i="8" s="1"/>
  <c r="P59" i="8"/>
  <c r="N59" i="8"/>
  <c r="N58" i="8"/>
  <c r="P58" i="8" s="1"/>
  <c r="P57" i="8"/>
  <c r="N57" i="8"/>
  <c r="J55" i="8"/>
  <c r="N55" i="8" s="1"/>
  <c r="P55" i="8" s="1"/>
  <c r="J54" i="8"/>
  <c r="N54" i="8" s="1"/>
  <c r="P54" i="8" s="1"/>
  <c r="P53" i="8"/>
  <c r="N53" i="8"/>
  <c r="J53" i="8"/>
  <c r="N52" i="8"/>
  <c r="P52" i="8" s="1"/>
  <c r="J52" i="8"/>
  <c r="L50" i="8"/>
  <c r="J50" i="8"/>
  <c r="N50" i="8" s="1"/>
  <c r="P50" i="8" s="1"/>
  <c r="L49" i="8"/>
  <c r="J49" i="8"/>
  <c r="N49" i="8" s="1"/>
  <c r="P49" i="8" s="1"/>
  <c r="L48" i="8"/>
  <c r="J48" i="8"/>
  <c r="N48" i="8" s="1"/>
  <c r="P48" i="8" s="1"/>
  <c r="L47" i="8"/>
  <c r="J47" i="8"/>
  <c r="N47" i="8" s="1"/>
  <c r="P47" i="8" s="1"/>
  <c r="N45" i="8"/>
  <c r="P45" i="8" s="1"/>
  <c r="P44" i="8"/>
  <c r="N44" i="8"/>
  <c r="N43" i="8"/>
  <c r="P43" i="8" s="1"/>
  <c r="P42" i="8"/>
  <c r="N42" i="8"/>
  <c r="L40" i="8"/>
  <c r="J40" i="8"/>
  <c r="N40" i="8" s="1"/>
  <c r="P40" i="8" s="1"/>
  <c r="L39" i="8"/>
  <c r="J39" i="8"/>
  <c r="N39" i="8" s="1"/>
  <c r="P39" i="8" s="1"/>
  <c r="L38" i="8"/>
  <c r="J38" i="8"/>
  <c r="N38" i="8" s="1"/>
  <c r="P38" i="8" s="1"/>
  <c r="L37" i="8"/>
  <c r="J37" i="8"/>
  <c r="N37" i="8" s="1"/>
  <c r="P37" i="8" s="1"/>
  <c r="L35" i="8"/>
  <c r="J35" i="8"/>
  <c r="N35" i="8" s="1"/>
  <c r="P35" i="8" s="1"/>
  <c r="L34" i="8"/>
  <c r="J34" i="8"/>
  <c r="N34" i="8" s="1"/>
  <c r="P34" i="8" s="1"/>
  <c r="L33" i="8"/>
  <c r="J33" i="8"/>
  <c r="N33" i="8" s="1"/>
  <c r="P33" i="8" s="1"/>
  <c r="L32" i="8"/>
  <c r="J32" i="8"/>
  <c r="N32" i="8" s="1"/>
  <c r="P32" i="8" s="1"/>
  <c r="L30" i="8"/>
  <c r="J30" i="8"/>
  <c r="N30" i="8" s="1"/>
  <c r="P30" i="8" s="1"/>
  <c r="L29" i="8"/>
  <c r="J29" i="8"/>
  <c r="N29" i="8" s="1"/>
  <c r="P29" i="8" s="1"/>
  <c r="L28" i="8"/>
  <c r="J28" i="8"/>
  <c r="N28" i="8" s="1"/>
  <c r="P28" i="8" s="1"/>
  <c r="L27" i="8"/>
  <c r="J27" i="8"/>
  <c r="N27" i="8" s="1"/>
  <c r="P27" i="8" s="1"/>
  <c r="L25" i="8"/>
  <c r="N25" i="8" s="1"/>
  <c r="P25" i="8" s="1"/>
  <c r="L24" i="8"/>
  <c r="N24" i="8" s="1"/>
  <c r="P24" i="8" s="1"/>
  <c r="P23" i="8"/>
  <c r="N23" i="8"/>
  <c r="L23" i="8"/>
  <c r="N22" i="8"/>
  <c r="P22" i="8" s="1"/>
  <c r="L22" i="8"/>
  <c r="L20" i="8"/>
  <c r="J20" i="8"/>
  <c r="N20" i="8" s="1"/>
  <c r="P20" i="8" s="1"/>
  <c r="L19" i="8"/>
  <c r="J19" i="8"/>
  <c r="N19" i="8" s="1"/>
  <c r="P19" i="8" s="1"/>
  <c r="L18" i="8"/>
  <c r="J18" i="8"/>
  <c r="N18" i="8" s="1"/>
  <c r="P18" i="8" s="1"/>
  <c r="L16" i="8"/>
  <c r="J16" i="8"/>
  <c r="N16" i="8" s="1"/>
  <c r="P16" i="8" s="1"/>
  <c r="L15" i="8"/>
  <c r="J15" i="8"/>
  <c r="N15" i="8" s="1"/>
  <c r="P15" i="8" s="1"/>
  <c r="L14" i="8"/>
  <c r="J14" i="8"/>
  <c r="N14" i="8" s="1"/>
  <c r="P14" i="8" s="1"/>
  <c r="L12" i="8"/>
  <c r="J12" i="8"/>
  <c r="N12" i="8" s="1"/>
  <c r="P12" i="8" s="1"/>
  <c r="L11" i="8"/>
  <c r="J11" i="8"/>
  <c r="N11" i="8" s="1"/>
  <c r="P11" i="8" s="1"/>
  <c r="L10" i="8"/>
  <c r="J10" i="8"/>
  <c r="N10" i="8" s="1"/>
  <c r="P10" i="8" s="1"/>
  <c r="L8" i="8"/>
  <c r="J8" i="8"/>
  <c r="N8" i="8" s="1"/>
  <c r="P8" i="8" s="1"/>
  <c r="L7" i="8"/>
  <c r="J7" i="8"/>
  <c r="N7" i="8" s="1"/>
  <c r="P7" i="8" s="1"/>
  <c r="L6" i="8"/>
  <c r="J6" i="8"/>
  <c r="N6" i="8" s="1"/>
  <c r="P6" i="8" s="1"/>
  <c r="J4" i="8"/>
  <c r="J3" i="8"/>
  <c r="J2" i="8"/>
  <c r="G425" i="11"/>
  <c r="G423" i="11"/>
  <c r="G422" i="11"/>
  <c r="B419" i="11"/>
  <c r="E424" i="11" s="1"/>
  <c r="G424" i="11" s="1"/>
  <c r="G412" i="11"/>
  <c r="G411" i="11"/>
  <c r="B408" i="11"/>
  <c r="L403" i="11"/>
  <c r="N403" i="11" s="1"/>
  <c r="J403" i="11"/>
  <c r="H403" i="11"/>
  <c r="L402" i="11"/>
  <c r="N402" i="11" s="1"/>
  <c r="J399" i="11"/>
  <c r="H399" i="11"/>
  <c r="L399" i="11" s="1"/>
  <c r="N399" i="11" s="1"/>
  <c r="J398" i="11"/>
  <c r="H398" i="11"/>
  <c r="L398" i="11" s="1"/>
  <c r="N398" i="11" s="1"/>
  <c r="J397" i="11"/>
  <c r="H397" i="11"/>
  <c r="L397" i="11" s="1"/>
  <c r="N397" i="11" s="1"/>
  <c r="J396" i="11"/>
  <c r="H396" i="11"/>
  <c r="L396" i="11" s="1"/>
  <c r="N396" i="11" s="1"/>
  <c r="J395" i="11"/>
  <c r="H395" i="11"/>
  <c r="L395" i="11" s="1"/>
  <c r="N395" i="11" s="1"/>
  <c r="J394" i="11"/>
  <c r="H394" i="11"/>
  <c r="L394" i="11" s="1"/>
  <c r="N394" i="11" s="1"/>
  <c r="N400" i="11" s="1"/>
  <c r="L391" i="11"/>
  <c r="N391" i="11" s="1"/>
  <c r="J391" i="11"/>
  <c r="H391" i="11"/>
  <c r="L390" i="11"/>
  <c r="N390" i="11" s="1"/>
  <c r="J390" i="11"/>
  <c r="H390" i="11"/>
  <c r="L389" i="11"/>
  <c r="N389" i="11" s="1"/>
  <c r="J389" i="11"/>
  <c r="H389" i="11"/>
  <c r="L388" i="11"/>
  <c r="N388" i="11" s="1"/>
  <c r="J388" i="11"/>
  <c r="H388" i="11"/>
  <c r="L387" i="11"/>
  <c r="N387" i="11" s="1"/>
  <c r="J387" i="11"/>
  <c r="H387" i="11"/>
  <c r="L386" i="11"/>
  <c r="N386" i="11" s="1"/>
  <c r="N392" i="11" s="1"/>
  <c r="J386" i="11"/>
  <c r="H386" i="11"/>
  <c r="H383" i="11"/>
  <c r="H382" i="11"/>
  <c r="H381" i="11"/>
  <c r="H380" i="11"/>
  <c r="H379" i="11"/>
  <c r="H378" i="11"/>
  <c r="J375" i="11"/>
  <c r="L375" i="11" s="1"/>
  <c r="N375" i="11" s="1"/>
  <c r="L374" i="11"/>
  <c r="N374" i="11" s="1"/>
  <c r="J374" i="11"/>
  <c r="J371" i="11"/>
  <c r="L371" i="11" s="1"/>
  <c r="N371" i="11" s="1"/>
  <c r="L370" i="11"/>
  <c r="N370" i="11" s="1"/>
  <c r="J370" i="11"/>
  <c r="J367" i="11"/>
  <c r="L367" i="11" s="1"/>
  <c r="N367" i="11" s="1"/>
  <c r="L366" i="11"/>
  <c r="N366" i="11" s="1"/>
  <c r="J366" i="11"/>
  <c r="J363" i="11"/>
  <c r="L363" i="11" s="1"/>
  <c r="N363" i="11" s="1"/>
  <c r="L362" i="11"/>
  <c r="N362" i="11" s="1"/>
  <c r="J362" i="11"/>
  <c r="J359" i="11"/>
  <c r="L359" i="11" s="1"/>
  <c r="N359" i="11" s="1"/>
  <c r="L358" i="11"/>
  <c r="N358" i="11" s="1"/>
  <c r="J358" i="11"/>
  <c r="J355" i="11"/>
  <c r="L355" i="11" s="1"/>
  <c r="N355" i="11" s="1"/>
  <c r="L354" i="11"/>
  <c r="N354" i="11" s="1"/>
  <c r="J354" i="11"/>
  <c r="J351" i="11"/>
  <c r="L351" i="11" s="1"/>
  <c r="N351" i="11" s="1"/>
  <c r="J350" i="11"/>
  <c r="L350" i="11" s="1"/>
  <c r="N350" i="11" s="1"/>
  <c r="J347" i="11"/>
  <c r="H347" i="11"/>
  <c r="L347" i="11" s="1"/>
  <c r="N347" i="11" s="1"/>
  <c r="J346" i="11"/>
  <c r="H346" i="11"/>
  <c r="L346" i="11" s="1"/>
  <c r="N346" i="11" s="1"/>
  <c r="F346" i="11"/>
  <c r="H343" i="11"/>
  <c r="F342" i="11"/>
  <c r="H342" i="11" s="1"/>
  <c r="L339" i="11"/>
  <c r="N339" i="11" s="1"/>
  <c r="J339" i="11"/>
  <c r="J338" i="11"/>
  <c r="L338" i="11" s="1"/>
  <c r="N338" i="11" s="1"/>
  <c r="L333" i="11"/>
  <c r="N333" i="11" s="1"/>
  <c r="J333" i="11"/>
  <c r="J332" i="11"/>
  <c r="L332" i="11" s="1"/>
  <c r="N332" i="11" s="1"/>
  <c r="J330" i="11"/>
  <c r="L330" i="11" s="1"/>
  <c r="N330" i="11" s="1"/>
  <c r="J329" i="11"/>
  <c r="L329" i="11" s="1"/>
  <c r="N329" i="11" s="1"/>
  <c r="L327" i="11"/>
  <c r="N327" i="11" s="1"/>
  <c r="H327" i="11"/>
  <c r="J326" i="11"/>
  <c r="H326" i="11"/>
  <c r="L326" i="11" s="1"/>
  <c r="N326" i="11" s="1"/>
  <c r="H325" i="11"/>
  <c r="L325" i="11" s="1"/>
  <c r="N325" i="11" s="1"/>
  <c r="J324" i="11"/>
  <c r="H324" i="11"/>
  <c r="L324" i="11" s="1"/>
  <c r="N324" i="11" s="1"/>
  <c r="H323" i="11"/>
  <c r="H322" i="11"/>
  <c r="L322" i="11" s="1"/>
  <c r="N322" i="11" s="1"/>
  <c r="N321" i="11"/>
  <c r="L321" i="11"/>
  <c r="G320" i="11"/>
  <c r="H320" i="11" s="1"/>
  <c r="H319" i="11"/>
  <c r="H318" i="11"/>
  <c r="H317" i="11"/>
  <c r="J316" i="11"/>
  <c r="L316" i="11" s="1"/>
  <c r="N316" i="11" s="1"/>
  <c r="H316" i="11"/>
  <c r="J315" i="11"/>
  <c r="L315" i="11" s="1"/>
  <c r="N315" i="11" s="1"/>
  <c r="H315" i="11"/>
  <c r="J314" i="11"/>
  <c r="L314" i="11" s="1"/>
  <c r="N314" i="11" s="1"/>
  <c r="H314" i="11"/>
  <c r="H313" i="11"/>
  <c r="L313" i="11" s="1"/>
  <c r="N313" i="11" s="1"/>
  <c r="J312" i="11"/>
  <c r="H312" i="11"/>
  <c r="L312" i="11" s="1"/>
  <c r="N312" i="11" s="1"/>
  <c r="J311" i="11"/>
  <c r="H311" i="11"/>
  <c r="L311" i="11" s="1"/>
  <c r="N311" i="11" s="1"/>
  <c r="J310" i="11"/>
  <c r="H310" i="11"/>
  <c r="L310" i="11" s="1"/>
  <c r="N310" i="11" s="1"/>
  <c r="H309" i="11"/>
  <c r="J308" i="11"/>
  <c r="H308" i="11"/>
  <c r="L308" i="11" s="1"/>
  <c r="N308" i="11" s="1"/>
  <c r="H307" i="11"/>
  <c r="J306" i="11"/>
  <c r="H306" i="11"/>
  <c r="L306" i="11" s="1"/>
  <c r="N306" i="11" s="1"/>
  <c r="J305" i="11"/>
  <c r="H305" i="11"/>
  <c r="L305" i="11" s="1"/>
  <c r="N305" i="11" s="1"/>
  <c r="J304" i="11"/>
  <c r="H304" i="11"/>
  <c r="L304" i="11" s="1"/>
  <c r="N304" i="11" s="1"/>
  <c r="J303" i="11"/>
  <c r="H303" i="11"/>
  <c r="L303" i="11" s="1"/>
  <c r="N303" i="11" s="1"/>
  <c r="L301" i="11"/>
  <c r="N301" i="11" s="1"/>
  <c r="J300" i="11"/>
  <c r="G300" i="11"/>
  <c r="H300" i="11" s="1"/>
  <c r="L300" i="11" s="1"/>
  <c r="N300" i="11" s="1"/>
  <c r="H299" i="11"/>
  <c r="L299" i="11" s="1"/>
  <c r="N299" i="11" s="1"/>
  <c r="N298" i="11"/>
  <c r="L298" i="11"/>
  <c r="H298" i="11"/>
  <c r="L297" i="11"/>
  <c r="N297" i="11" s="1"/>
  <c r="H297" i="11"/>
  <c r="L295" i="11"/>
  <c r="N295" i="11" s="1"/>
  <c r="N291" i="11"/>
  <c r="L291" i="11"/>
  <c r="J291" i="11"/>
  <c r="H291" i="11"/>
  <c r="J290" i="11"/>
  <c r="G290" i="11"/>
  <c r="H290" i="11" s="1"/>
  <c r="L290" i="11" s="1"/>
  <c r="N290" i="11" s="1"/>
  <c r="J289" i="11"/>
  <c r="H289" i="11"/>
  <c r="L289" i="11" s="1"/>
  <c r="N289" i="11" s="1"/>
  <c r="J288" i="11"/>
  <c r="H288" i="11"/>
  <c r="L288" i="11" s="1"/>
  <c r="N288" i="11" s="1"/>
  <c r="J287" i="11"/>
  <c r="H287" i="11"/>
  <c r="L287" i="11" s="1"/>
  <c r="N287" i="11" s="1"/>
  <c r="J285" i="11"/>
  <c r="H285" i="11"/>
  <c r="L285" i="11" s="1"/>
  <c r="N285" i="11" s="1"/>
  <c r="H281" i="11"/>
  <c r="J280" i="11"/>
  <c r="G280" i="11"/>
  <c r="H280" i="11" s="1"/>
  <c r="L280" i="11" s="1"/>
  <c r="L279" i="11"/>
  <c r="J279" i="11"/>
  <c r="H279" i="11"/>
  <c r="L278" i="11"/>
  <c r="J278" i="11"/>
  <c r="H278" i="11"/>
  <c r="J277" i="11"/>
  <c r="H277" i="11"/>
  <c r="L277" i="11" s="1"/>
  <c r="H275" i="11"/>
  <c r="H270" i="11"/>
  <c r="L269" i="11"/>
  <c r="N269" i="11" s="1"/>
  <c r="J268" i="11"/>
  <c r="N267" i="11"/>
  <c r="L267" i="11"/>
  <c r="J267" i="11"/>
  <c r="H267" i="11"/>
  <c r="H268" i="11" s="1"/>
  <c r="L268" i="11" s="1"/>
  <c r="N268" i="11" s="1"/>
  <c r="H266" i="11"/>
  <c r="E265" i="11"/>
  <c r="H265" i="11" s="1"/>
  <c r="J264" i="11"/>
  <c r="H264" i="11"/>
  <c r="L264" i="11" s="1"/>
  <c r="N264" i="11" s="1"/>
  <c r="E264" i="11"/>
  <c r="J263" i="11"/>
  <c r="E263" i="11"/>
  <c r="H263" i="11" s="1"/>
  <c r="L263" i="11" s="1"/>
  <c r="N263" i="11" s="1"/>
  <c r="L262" i="11"/>
  <c r="N262" i="11" s="1"/>
  <c r="J262" i="11"/>
  <c r="H262" i="11"/>
  <c r="L261" i="11"/>
  <c r="N261" i="11" s="1"/>
  <c r="J261" i="11"/>
  <c r="H261" i="11"/>
  <c r="H260" i="11"/>
  <c r="H259" i="11"/>
  <c r="J258" i="11"/>
  <c r="L258" i="11" s="1"/>
  <c r="N258" i="11" s="1"/>
  <c r="H258" i="11"/>
  <c r="J257" i="11"/>
  <c r="L257" i="11" s="1"/>
  <c r="N257" i="11" s="1"/>
  <c r="H257" i="11"/>
  <c r="H256" i="11"/>
  <c r="N253" i="11"/>
  <c r="L253" i="11"/>
  <c r="N252" i="11"/>
  <c r="L252" i="11"/>
  <c r="N251" i="11"/>
  <c r="L251" i="11"/>
  <c r="H250" i="11"/>
  <c r="N249" i="11"/>
  <c r="L249" i="11"/>
  <c r="J248" i="11"/>
  <c r="J247" i="11"/>
  <c r="H246" i="11"/>
  <c r="H245" i="11"/>
  <c r="H244" i="11"/>
  <c r="H243" i="11"/>
  <c r="H247" i="11" s="1"/>
  <c r="J239" i="11"/>
  <c r="H239" i="11"/>
  <c r="L239" i="11" s="1"/>
  <c r="N239" i="11" s="1"/>
  <c r="H238" i="11"/>
  <c r="J237" i="11"/>
  <c r="H237" i="11"/>
  <c r="L237" i="11" s="1"/>
  <c r="N237" i="11" s="1"/>
  <c r="H236" i="11"/>
  <c r="N235" i="11"/>
  <c r="L235" i="11"/>
  <c r="N234" i="11"/>
  <c r="L234" i="11"/>
  <c r="L233" i="11"/>
  <c r="J229" i="11"/>
  <c r="H229" i="11"/>
  <c r="L229" i="11" s="1"/>
  <c r="N229" i="11" s="1"/>
  <c r="J228" i="11"/>
  <c r="H228" i="11"/>
  <c r="L228" i="11" s="1"/>
  <c r="N228" i="11" s="1"/>
  <c r="J227" i="11"/>
  <c r="H227" i="11"/>
  <c r="L227" i="11" s="1"/>
  <c r="N227" i="11" s="1"/>
  <c r="H226" i="11"/>
  <c r="J225" i="11"/>
  <c r="H225" i="11"/>
  <c r="L225" i="11" s="1"/>
  <c r="N225" i="11" s="1"/>
  <c r="J224" i="11"/>
  <c r="H224" i="11"/>
  <c r="L224" i="11" s="1"/>
  <c r="N224" i="11" s="1"/>
  <c r="L221" i="11"/>
  <c r="N221" i="11" s="1"/>
  <c r="L220" i="11"/>
  <c r="N220" i="11" s="1"/>
  <c r="J220" i="11"/>
  <c r="J219" i="11"/>
  <c r="L219" i="11" s="1"/>
  <c r="N219" i="11" s="1"/>
  <c r="H219" i="11"/>
  <c r="H218" i="11"/>
  <c r="J217" i="11"/>
  <c r="L217" i="11" s="1"/>
  <c r="N217" i="11" s="1"/>
  <c r="H217" i="11"/>
  <c r="H216" i="11"/>
  <c r="L215" i="11"/>
  <c r="N215" i="11" s="1"/>
  <c r="J214" i="11"/>
  <c r="H214" i="11"/>
  <c r="L214" i="11" s="1"/>
  <c r="N214" i="11" s="1"/>
  <c r="L213" i="11"/>
  <c r="J213" i="11"/>
  <c r="H213" i="11"/>
  <c r="L210" i="11"/>
  <c r="N210" i="11" s="1"/>
  <c r="J209" i="11"/>
  <c r="H209" i="11"/>
  <c r="L209" i="11" s="1"/>
  <c r="N209" i="11" s="1"/>
  <c r="J208" i="11"/>
  <c r="H208" i="11"/>
  <c r="L208" i="11" s="1"/>
  <c r="N208" i="11" s="1"/>
  <c r="L207" i="11"/>
  <c r="N207" i="11" s="1"/>
  <c r="L206" i="11"/>
  <c r="N206" i="11" s="1"/>
  <c r="J206" i="11"/>
  <c r="H206" i="11"/>
  <c r="L205" i="11"/>
  <c r="N205" i="11" s="1"/>
  <c r="J205" i="11"/>
  <c r="H205" i="11"/>
  <c r="L204" i="11"/>
  <c r="N204" i="11" s="1"/>
  <c r="J204" i="11"/>
  <c r="H204" i="11"/>
  <c r="L203" i="11"/>
  <c r="N203" i="11" s="1"/>
  <c r="J203" i="11"/>
  <c r="H203" i="11"/>
  <c r="H202" i="11"/>
  <c r="F199" i="11"/>
  <c r="H199" i="11" s="1"/>
  <c r="F198" i="11"/>
  <c r="H198" i="11" s="1"/>
  <c r="H197" i="11"/>
  <c r="F197" i="11"/>
  <c r="F196" i="11"/>
  <c r="H196" i="11" s="1"/>
  <c r="L195" i="11"/>
  <c r="N195" i="11" s="1"/>
  <c r="L194" i="11"/>
  <c r="N194" i="11" s="1"/>
  <c r="L193" i="11"/>
  <c r="N193" i="11" s="1"/>
  <c r="L192" i="11"/>
  <c r="J188" i="11"/>
  <c r="J186" i="11"/>
  <c r="J184" i="11"/>
  <c r="J182" i="11"/>
  <c r="J180" i="11"/>
  <c r="E180" i="11"/>
  <c r="E181" i="11" s="1"/>
  <c r="J179" i="11"/>
  <c r="L179" i="11" s="1"/>
  <c r="N179" i="11" s="1"/>
  <c r="E176" i="11"/>
  <c r="E175" i="11"/>
  <c r="J174" i="11"/>
  <c r="H174" i="11"/>
  <c r="L174" i="11" s="1"/>
  <c r="N174" i="11" s="1"/>
  <c r="E174" i="11"/>
  <c r="H173" i="11"/>
  <c r="E173" i="11"/>
  <c r="J172" i="11"/>
  <c r="L172" i="11" s="1"/>
  <c r="N172" i="11" s="1"/>
  <c r="H172" i="11"/>
  <c r="E172" i="11"/>
  <c r="H171" i="11"/>
  <c r="E171" i="11"/>
  <c r="L170" i="11"/>
  <c r="N170" i="11" s="1"/>
  <c r="H170" i="11"/>
  <c r="E170" i="11"/>
  <c r="J169" i="11"/>
  <c r="H169" i="11"/>
  <c r="L169" i="11" s="1"/>
  <c r="N169" i="11" s="1"/>
  <c r="E169" i="11"/>
  <c r="J168" i="11"/>
  <c r="L168" i="11" s="1"/>
  <c r="N168" i="11" s="1"/>
  <c r="H168" i="11"/>
  <c r="E168" i="11"/>
  <c r="L165" i="11"/>
  <c r="N165" i="11" s="1"/>
  <c r="J164" i="11"/>
  <c r="L164" i="11" s="1"/>
  <c r="N164" i="11" s="1"/>
  <c r="H164" i="11"/>
  <c r="L163" i="11"/>
  <c r="N163" i="11" s="1"/>
  <c r="J163" i="11"/>
  <c r="H163" i="11"/>
  <c r="E163" i="11"/>
  <c r="E164" i="11" s="1"/>
  <c r="E165" i="11" s="1"/>
  <c r="J162" i="11"/>
  <c r="L162" i="11" s="1"/>
  <c r="N162" i="11" s="1"/>
  <c r="J159" i="11"/>
  <c r="H159" i="11"/>
  <c r="L159" i="11" s="1"/>
  <c r="N159" i="11" s="1"/>
  <c r="J158" i="11"/>
  <c r="H158" i="11"/>
  <c r="L158" i="11" s="1"/>
  <c r="N158" i="11" s="1"/>
  <c r="J157" i="11"/>
  <c r="H157" i="11"/>
  <c r="L157" i="11" s="1"/>
  <c r="N157" i="11" s="1"/>
  <c r="J156" i="11"/>
  <c r="H156" i="11"/>
  <c r="L156" i="11" s="1"/>
  <c r="N156" i="11" s="1"/>
  <c r="H155" i="11"/>
  <c r="J154" i="11"/>
  <c r="H154" i="11"/>
  <c r="L154" i="11" s="1"/>
  <c r="N154" i="11" s="1"/>
  <c r="J153" i="11"/>
  <c r="H153" i="11"/>
  <c r="L153" i="11" s="1"/>
  <c r="N153" i="11" s="1"/>
  <c r="H152" i="11"/>
  <c r="N147" i="11"/>
  <c r="L147" i="11"/>
  <c r="L144" i="11"/>
  <c r="N144" i="11" s="1"/>
  <c r="H143" i="11"/>
  <c r="J142" i="11"/>
  <c r="L142" i="11" s="1"/>
  <c r="N142" i="11" s="1"/>
  <c r="H142" i="11"/>
  <c r="H139" i="11"/>
  <c r="J138" i="11"/>
  <c r="L138" i="11" s="1"/>
  <c r="N138" i="11" s="1"/>
  <c r="H138" i="11"/>
  <c r="H137" i="11"/>
  <c r="N136" i="11"/>
  <c r="L136" i="11"/>
  <c r="N135" i="11"/>
  <c r="L135" i="11"/>
  <c r="N134" i="11"/>
  <c r="L134" i="11"/>
  <c r="N133" i="11"/>
  <c r="L133" i="11"/>
  <c r="N132" i="11"/>
  <c r="L132" i="11"/>
  <c r="N129" i="11"/>
  <c r="J128" i="11"/>
  <c r="J126" i="11"/>
  <c r="J124" i="11"/>
  <c r="J123" i="11"/>
  <c r="J122" i="11"/>
  <c r="E122" i="11"/>
  <c r="H121" i="11"/>
  <c r="L118" i="11"/>
  <c r="N118" i="11" s="1"/>
  <c r="H118" i="11"/>
  <c r="J117" i="11"/>
  <c r="H117" i="11"/>
  <c r="L117" i="11" s="1"/>
  <c r="N117" i="11" s="1"/>
  <c r="H116" i="11"/>
  <c r="J115" i="11"/>
  <c r="H115" i="11"/>
  <c r="L115" i="11" s="1"/>
  <c r="N115" i="11" s="1"/>
  <c r="H114" i="11"/>
  <c r="J113" i="11"/>
  <c r="H113" i="11"/>
  <c r="L113" i="11" s="1"/>
  <c r="N113" i="11" s="1"/>
  <c r="H110" i="11"/>
  <c r="H109" i="11"/>
  <c r="D109" i="11"/>
  <c r="L106" i="11"/>
  <c r="N106" i="11" s="1"/>
  <c r="J106" i="11"/>
  <c r="H106" i="11"/>
  <c r="L105" i="11"/>
  <c r="N105" i="11" s="1"/>
  <c r="J105" i="11"/>
  <c r="H105" i="11"/>
  <c r="H102" i="11"/>
  <c r="H101" i="11"/>
  <c r="J98" i="11"/>
  <c r="L98" i="11" s="1"/>
  <c r="N98" i="11" s="1"/>
  <c r="H98" i="11"/>
  <c r="J97" i="11"/>
  <c r="L97" i="11" s="1"/>
  <c r="N97" i="11" s="1"/>
  <c r="H97" i="11"/>
  <c r="H95" i="11"/>
  <c r="L95" i="11" s="1"/>
  <c r="N95" i="11" s="1"/>
  <c r="H94" i="11"/>
  <c r="L94" i="11" s="1"/>
  <c r="N94" i="11" s="1"/>
  <c r="H93" i="11"/>
  <c r="L93" i="11" s="1"/>
  <c r="N93" i="11" s="1"/>
  <c r="L92" i="11"/>
  <c r="N92" i="11" s="1"/>
  <c r="H92" i="11"/>
  <c r="N90" i="11"/>
  <c r="N89" i="11"/>
  <c r="N88" i="11"/>
  <c r="N87" i="11"/>
  <c r="J85" i="11"/>
  <c r="L85" i="11" s="1"/>
  <c r="N85" i="11" s="1"/>
  <c r="J84" i="11"/>
  <c r="L84" i="11" s="1"/>
  <c r="N84" i="11" s="1"/>
  <c r="J83" i="11"/>
  <c r="L83" i="11" s="1"/>
  <c r="N83" i="11" s="1"/>
  <c r="L82" i="11"/>
  <c r="N82" i="11" s="1"/>
  <c r="J82" i="11"/>
  <c r="J80" i="11"/>
  <c r="L80" i="11" s="1"/>
  <c r="N80" i="11" s="1"/>
  <c r="H80" i="11"/>
  <c r="J79" i="11"/>
  <c r="L79" i="11" s="1"/>
  <c r="N79" i="11" s="1"/>
  <c r="H79" i="11"/>
  <c r="J78" i="11"/>
  <c r="L78" i="11" s="1"/>
  <c r="N78" i="11" s="1"/>
  <c r="H78" i="11"/>
  <c r="J77" i="11"/>
  <c r="L77" i="11" s="1"/>
  <c r="N77" i="11" s="1"/>
  <c r="H77" i="11"/>
  <c r="H75" i="11"/>
  <c r="H74" i="11"/>
  <c r="H73" i="11"/>
  <c r="H72" i="11"/>
  <c r="J70" i="11"/>
  <c r="L70" i="11" s="1"/>
  <c r="N70" i="11" s="1"/>
  <c r="H70" i="11"/>
  <c r="J69" i="11"/>
  <c r="L69" i="11" s="1"/>
  <c r="N69" i="11" s="1"/>
  <c r="H69" i="11"/>
  <c r="J68" i="11"/>
  <c r="L68" i="11" s="1"/>
  <c r="N68" i="11" s="1"/>
  <c r="H68" i="11"/>
  <c r="J67" i="11"/>
  <c r="L67" i="11" s="1"/>
  <c r="N67" i="11" s="1"/>
  <c r="H67" i="11"/>
  <c r="H65" i="11"/>
  <c r="H64" i="11"/>
  <c r="H63" i="11"/>
  <c r="H62" i="11"/>
  <c r="L60" i="11"/>
  <c r="N60" i="11" s="1"/>
  <c r="N59" i="11"/>
  <c r="L59" i="11"/>
  <c r="L58" i="11"/>
  <c r="N58" i="11" s="1"/>
  <c r="N57" i="11"/>
  <c r="L57" i="11"/>
  <c r="H55" i="11"/>
  <c r="L55" i="11" s="1"/>
  <c r="N55" i="11" s="1"/>
  <c r="H54" i="11"/>
  <c r="L54" i="11" s="1"/>
  <c r="N54" i="11" s="1"/>
  <c r="H53" i="11"/>
  <c r="L53" i="11" s="1"/>
  <c r="N53" i="11" s="1"/>
  <c r="L52" i="11"/>
  <c r="N52" i="11" s="1"/>
  <c r="H52" i="11"/>
  <c r="J50" i="11"/>
  <c r="L50" i="11" s="1"/>
  <c r="N50" i="11" s="1"/>
  <c r="H50" i="11"/>
  <c r="J49" i="11"/>
  <c r="L49" i="11" s="1"/>
  <c r="N49" i="11" s="1"/>
  <c r="H49" i="11"/>
  <c r="J48" i="11"/>
  <c r="L48" i="11" s="1"/>
  <c r="N48" i="11" s="1"/>
  <c r="H48" i="11"/>
  <c r="J47" i="11"/>
  <c r="L47" i="11" s="1"/>
  <c r="N47" i="11" s="1"/>
  <c r="H47" i="11"/>
  <c r="L45" i="11"/>
  <c r="N45" i="11" s="1"/>
  <c r="N44" i="11"/>
  <c r="L44" i="11"/>
  <c r="L43" i="11"/>
  <c r="N43" i="11" s="1"/>
  <c r="N42" i="11"/>
  <c r="L42" i="11"/>
  <c r="J40" i="11"/>
  <c r="L40" i="11" s="1"/>
  <c r="N40" i="11" s="1"/>
  <c r="H40" i="11"/>
  <c r="J39" i="11"/>
  <c r="L39" i="11" s="1"/>
  <c r="N39" i="11" s="1"/>
  <c r="H39" i="11"/>
  <c r="J38" i="11"/>
  <c r="L38" i="11" s="1"/>
  <c r="N38" i="11" s="1"/>
  <c r="H38" i="11"/>
  <c r="J37" i="11"/>
  <c r="L37" i="11" s="1"/>
  <c r="N37" i="11" s="1"/>
  <c r="H37" i="11"/>
  <c r="J35" i="11"/>
  <c r="L35" i="11" s="1"/>
  <c r="N35" i="11" s="1"/>
  <c r="H35" i="11"/>
  <c r="J34" i="11"/>
  <c r="L34" i="11" s="1"/>
  <c r="N34" i="11" s="1"/>
  <c r="H34" i="11"/>
  <c r="J33" i="11"/>
  <c r="L33" i="11" s="1"/>
  <c r="N33" i="11" s="1"/>
  <c r="H33" i="11"/>
  <c r="J32" i="11"/>
  <c r="L32" i="11" s="1"/>
  <c r="N32" i="11" s="1"/>
  <c r="H32" i="11"/>
  <c r="J30" i="11"/>
  <c r="L30" i="11" s="1"/>
  <c r="N30" i="11" s="1"/>
  <c r="H30" i="11"/>
  <c r="J29" i="11"/>
  <c r="L29" i="11" s="1"/>
  <c r="N29" i="11" s="1"/>
  <c r="H29" i="11"/>
  <c r="J28" i="11"/>
  <c r="L28" i="11" s="1"/>
  <c r="N28" i="11" s="1"/>
  <c r="H28" i="11"/>
  <c r="J27" i="11"/>
  <c r="L27" i="11" s="1"/>
  <c r="N27" i="11" s="1"/>
  <c r="H27" i="11"/>
  <c r="J25" i="11"/>
  <c r="L25" i="11" s="1"/>
  <c r="N25" i="11" s="1"/>
  <c r="J24" i="11"/>
  <c r="L24" i="11" s="1"/>
  <c r="N24" i="11" s="1"/>
  <c r="J23" i="11"/>
  <c r="L23" i="11" s="1"/>
  <c r="N23" i="11" s="1"/>
  <c r="L22" i="11"/>
  <c r="N22" i="11" s="1"/>
  <c r="J22" i="11"/>
  <c r="J20" i="11"/>
  <c r="L20" i="11" s="1"/>
  <c r="N20" i="11" s="1"/>
  <c r="H20" i="11"/>
  <c r="J19" i="11"/>
  <c r="L19" i="11" s="1"/>
  <c r="N19" i="11" s="1"/>
  <c r="H19" i="11"/>
  <c r="J18" i="11"/>
  <c r="L18" i="11" s="1"/>
  <c r="N18" i="11" s="1"/>
  <c r="H18" i="11"/>
  <c r="J16" i="11"/>
  <c r="L16" i="11" s="1"/>
  <c r="N16" i="11" s="1"/>
  <c r="H16" i="11"/>
  <c r="J15" i="11"/>
  <c r="L15" i="11" s="1"/>
  <c r="N15" i="11" s="1"/>
  <c r="H15" i="11"/>
  <c r="J14" i="11"/>
  <c r="L14" i="11" s="1"/>
  <c r="N14" i="11" s="1"/>
  <c r="H14" i="11"/>
  <c r="J12" i="11"/>
  <c r="L12" i="11" s="1"/>
  <c r="N12" i="11" s="1"/>
  <c r="H12" i="11"/>
  <c r="J11" i="11"/>
  <c r="L11" i="11" s="1"/>
  <c r="N11" i="11" s="1"/>
  <c r="H11" i="11"/>
  <c r="J10" i="11"/>
  <c r="L10" i="11" s="1"/>
  <c r="N10" i="11" s="1"/>
  <c r="H10" i="11"/>
  <c r="J8" i="11"/>
  <c r="H8" i="11"/>
  <c r="L8" i="11" s="1"/>
  <c r="N8" i="11" s="1"/>
  <c r="J7" i="11"/>
  <c r="H7" i="11"/>
  <c r="L7" i="11" s="1"/>
  <c r="N7" i="11" s="1"/>
  <c r="J6" i="11"/>
  <c r="H6" i="11"/>
  <c r="L6" i="11" s="1"/>
  <c r="N6" i="11" s="1"/>
  <c r="H4" i="11"/>
  <c r="H3" i="11"/>
  <c r="H2" i="11"/>
  <c r="U53" i="6"/>
  <c r="T53" i="6"/>
  <c r="S53" i="6"/>
  <c r="N53" i="6"/>
  <c r="F53" i="6"/>
  <c r="U52" i="6"/>
  <c r="T52" i="6"/>
  <c r="S52" i="6"/>
  <c r="N52" i="6"/>
  <c r="F52" i="6"/>
  <c r="U51" i="6"/>
  <c r="T51" i="6"/>
  <c r="S51" i="6"/>
  <c r="N51" i="6"/>
  <c r="F51" i="6"/>
  <c r="U50" i="6"/>
  <c r="T50" i="6"/>
  <c r="S50" i="6"/>
  <c r="N50" i="6"/>
  <c r="F50" i="6"/>
  <c r="U49" i="6"/>
  <c r="T49" i="6"/>
  <c r="S49" i="6"/>
  <c r="N49" i="6"/>
  <c r="F49" i="6"/>
  <c r="U48" i="6"/>
  <c r="T48" i="6"/>
  <c r="S48" i="6"/>
  <c r="N48" i="6"/>
  <c r="F48" i="6"/>
  <c r="U47" i="6"/>
  <c r="T47" i="6"/>
  <c r="S47" i="6"/>
  <c r="N47" i="6"/>
  <c r="F47" i="6"/>
  <c r="U46" i="6"/>
  <c r="T46" i="6"/>
  <c r="S46" i="6"/>
  <c r="N46" i="6"/>
  <c r="F46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U32" i="6"/>
  <c r="F32" i="6"/>
  <c r="D32" i="6"/>
  <c r="F31" i="6"/>
  <c r="D31" i="6"/>
  <c r="F30" i="6"/>
  <c r="D30" i="6"/>
  <c r="W18" i="6"/>
  <c r="V18" i="6"/>
  <c r="S18" i="6"/>
  <c r="Q18" i="6"/>
  <c r="L18" i="6"/>
  <c r="B18" i="6"/>
  <c r="W17" i="6"/>
  <c r="V17" i="6"/>
  <c r="S17" i="6"/>
  <c r="Q17" i="6"/>
  <c r="L17" i="6"/>
  <c r="B17" i="6"/>
  <c r="W16" i="6"/>
  <c r="V16" i="6"/>
  <c r="S16" i="6"/>
  <c r="Q16" i="6"/>
  <c r="L16" i="6"/>
  <c r="B16" i="6"/>
  <c r="W15" i="6"/>
  <c r="V15" i="6"/>
  <c r="S15" i="6"/>
  <c r="Q15" i="6"/>
  <c r="L15" i="6"/>
  <c r="B15" i="6"/>
  <c r="W14" i="6"/>
  <c r="V14" i="6"/>
  <c r="S14" i="6"/>
  <c r="Q14" i="6"/>
  <c r="L14" i="6"/>
  <c r="B14" i="6"/>
  <c r="W13" i="6"/>
  <c r="V13" i="6"/>
  <c r="S13" i="6"/>
  <c r="Q13" i="6"/>
  <c r="L13" i="6"/>
  <c r="B13" i="6"/>
  <c r="W12" i="6"/>
  <c r="V12" i="6"/>
  <c r="S12" i="6"/>
  <c r="Q12" i="6"/>
  <c r="L12" i="6"/>
  <c r="B12" i="6"/>
  <c r="W11" i="6"/>
  <c r="V11" i="6"/>
  <c r="S11" i="6"/>
  <c r="Q11" i="6"/>
  <c r="L11" i="6"/>
  <c r="B11" i="6"/>
  <c r="W10" i="6"/>
  <c r="V10" i="6"/>
  <c r="S10" i="6"/>
  <c r="Q10" i="6"/>
  <c r="L10" i="6"/>
  <c r="B10" i="6"/>
  <c r="W9" i="6"/>
  <c r="V9" i="6"/>
  <c r="S9" i="6"/>
  <c r="Q9" i="6"/>
  <c r="L9" i="6"/>
  <c r="J102" i="11" s="1"/>
  <c r="L102" i="11" s="1"/>
  <c r="N102" i="11" s="1"/>
  <c r="B9" i="6"/>
  <c r="W8" i="6"/>
  <c r="V8" i="6"/>
  <c r="S8" i="6"/>
  <c r="Q8" i="6"/>
  <c r="L8" i="6"/>
  <c r="B8" i="6"/>
  <c r="W7" i="6"/>
  <c r="V7" i="6"/>
  <c r="S7" i="6"/>
  <c r="Q7" i="6"/>
  <c r="L7" i="6"/>
  <c r="B7" i="6"/>
  <c r="W6" i="6"/>
  <c r="V6" i="6"/>
  <c r="S6" i="6"/>
  <c r="Q6" i="6"/>
  <c r="L6" i="6"/>
  <c r="J114" i="11" s="1"/>
  <c r="B6" i="6"/>
  <c r="W5" i="6"/>
  <c r="V5" i="6"/>
  <c r="S5" i="6"/>
  <c r="Q5" i="6"/>
  <c r="L5" i="6"/>
  <c r="B5" i="6"/>
  <c r="W4" i="6"/>
  <c r="V4" i="6"/>
  <c r="S4" i="6"/>
  <c r="Q4" i="6"/>
  <c r="L4" i="6"/>
  <c r="B4" i="6"/>
  <c r="W3" i="6"/>
  <c r="V3" i="6"/>
  <c r="S3" i="6"/>
  <c r="Q3" i="6"/>
  <c r="L3" i="6"/>
  <c r="B3" i="6"/>
  <c r="S1289" i="15"/>
  <c r="Q1289" i="15"/>
  <c r="S1288" i="15"/>
  <c r="Q1288" i="15"/>
  <c r="S1287" i="15"/>
  <c r="Q1287" i="15"/>
  <c r="Q1285" i="15"/>
  <c r="S1285" i="15" s="1"/>
  <c r="S1283" i="15"/>
  <c r="Q1283" i="15"/>
  <c r="S1282" i="15"/>
  <c r="Q1282" i="15"/>
  <c r="S1281" i="15"/>
  <c r="Q1281" i="15"/>
  <c r="S1280" i="15"/>
  <c r="Q1280" i="15"/>
  <c r="S1279" i="15"/>
  <c r="Q1279" i="15"/>
  <c r="Q1277" i="15"/>
  <c r="S1277" i="15" s="1"/>
  <c r="Q1276" i="15"/>
  <c r="S1276" i="15" s="1"/>
  <c r="Q1275" i="15"/>
  <c r="S1275" i="15" s="1"/>
  <c r="Q1274" i="15"/>
  <c r="S1274" i="15" s="1"/>
  <c r="Q1273" i="15"/>
  <c r="S1273" i="15" s="1"/>
  <c r="Q1272" i="15"/>
  <c r="S1272" i="15" s="1"/>
  <c r="S1270" i="15"/>
  <c r="Q1270" i="15"/>
  <c r="S1269" i="15"/>
  <c r="Q1269" i="15"/>
  <c r="J1269" i="15"/>
  <c r="J1270" i="15" s="1"/>
  <c r="Q1268" i="15"/>
  <c r="S1268" i="15" s="1"/>
  <c r="Q1267" i="15"/>
  <c r="S1267" i="15" s="1"/>
  <c r="S1265" i="15"/>
  <c r="Q1265" i="15"/>
  <c r="O1264" i="15"/>
  <c r="M1264" i="15"/>
  <c r="Q1264" i="15" s="1"/>
  <c r="S1264" i="15" s="1"/>
  <c r="Q1263" i="15"/>
  <c r="S1263" i="15" s="1"/>
  <c r="Q1262" i="15"/>
  <c r="S1262" i="15" s="1"/>
  <c r="O1262" i="15"/>
  <c r="M1262" i="15"/>
  <c r="S1260" i="15"/>
  <c r="Q1260" i="15"/>
  <c r="S1259" i="15"/>
  <c r="Q1259" i="15"/>
  <c r="O1259" i="15"/>
  <c r="M1259" i="15"/>
  <c r="Q1258" i="15"/>
  <c r="S1258" i="15" s="1"/>
  <c r="O1257" i="15"/>
  <c r="M1257" i="15"/>
  <c r="Q1257" i="15" s="1"/>
  <c r="S1257" i="15" s="1"/>
  <c r="Q1255" i="15"/>
  <c r="S1255" i="15" s="1"/>
  <c r="Q1254" i="15"/>
  <c r="S1254" i="15" s="1"/>
  <c r="Q1253" i="15"/>
  <c r="S1253" i="15" s="1"/>
  <c r="O1251" i="15"/>
  <c r="M1251" i="15"/>
  <c r="Q1251" i="15" s="1"/>
  <c r="S1251" i="15" s="1"/>
  <c r="O1250" i="15"/>
  <c r="M1250" i="15"/>
  <c r="Q1250" i="15" s="1"/>
  <c r="S1250" i="15" s="1"/>
  <c r="O1249" i="15"/>
  <c r="M1249" i="15"/>
  <c r="Q1249" i="15" s="1"/>
  <c r="S1249" i="15" s="1"/>
  <c r="O1248" i="15"/>
  <c r="M1248" i="15"/>
  <c r="Q1248" i="15" s="1"/>
  <c r="S1248" i="15" s="1"/>
  <c r="O1246" i="15"/>
  <c r="Q1246" i="15" s="1"/>
  <c r="S1246" i="15" s="1"/>
  <c r="Q1245" i="15"/>
  <c r="S1245" i="15" s="1"/>
  <c r="Q1244" i="15"/>
  <c r="S1244" i="15" s="1"/>
  <c r="O1242" i="15"/>
  <c r="J1242" i="15"/>
  <c r="M1242" i="15" s="1"/>
  <c r="Q1242" i="15" s="1"/>
  <c r="S1242" i="15" s="1"/>
  <c r="Q1241" i="15"/>
  <c r="S1241" i="15" s="1"/>
  <c r="M1241" i="15"/>
  <c r="S1240" i="15"/>
  <c r="Q1240" i="15"/>
  <c r="Q1238" i="15"/>
  <c r="S1238" i="15" s="1"/>
  <c r="O1238" i="15"/>
  <c r="M1238" i="15"/>
  <c r="J1238" i="15"/>
  <c r="M1237" i="15"/>
  <c r="Q1237" i="15" s="1"/>
  <c r="S1237" i="15" s="1"/>
  <c r="Q1236" i="15"/>
  <c r="S1236" i="15" s="1"/>
  <c r="O1236" i="15"/>
  <c r="M1236" i="15"/>
  <c r="S1234" i="15"/>
  <c r="Q1234" i="15"/>
  <c r="S1233" i="15"/>
  <c r="Q1233" i="15"/>
  <c r="S1230" i="15"/>
  <c r="Q1230" i="15"/>
  <c r="Q1229" i="15"/>
  <c r="S1229" i="15" s="1"/>
  <c r="S1228" i="15"/>
  <c r="Q1228" i="15"/>
  <c r="Q1227" i="15"/>
  <c r="S1227" i="15" s="1"/>
  <c r="S1226" i="15"/>
  <c r="Q1226" i="15"/>
  <c r="S1224" i="15"/>
  <c r="Q1224" i="15"/>
  <c r="J1224" i="15"/>
  <c r="Q1223" i="15"/>
  <c r="S1223" i="15" s="1"/>
  <c r="J1223" i="15"/>
  <c r="O1222" i="15"/>
  <c r="M1222" i="15"/>
  <c r="Q1222" i="15" s="1"/>
  <c r="S1222" i="15" s="1"/>
  <c r="S1221" i="15"/>
  <c r="Q1221" i="15"/>
  <c r="O1220" i="15"/>
  <c r="I1218" i="15"/>
  <c r="O1218" i="15" s="1"/>
  <c r="O1216" i="15"/>
  <c r="J1214" i="15"/>
  <c r="J1216" i="15" s="1"/>
  <c r="S1213" i="15"/>
  <c r="Q1213" i="15"/>
  <c r="J1213" i="15"/>
  <c r="Q1211" i="15"/>
  <c r="S1211" i="15" s="1"/>
  <c r="J1211" i="15"/>
  <c r="Q1210" i="15"/>
  <c r="S1210" i="15" s="1"/>
  <c r="J1210" i="15"/>
  <c r="M1208" i="15"/>
  <c r="I1208" i="15"/>
  <c r="I1210" i="15" s="1"/>
  <c r="O1207" i="15"/>
  <c r="M1207" i="15"/>
  <c r="Q1207" i="15" s="1"/>
  <c r="S1207" i="15" s="1"/>
  <c r="Q1206" i="15"/>
  <c r="S1206" i="15" s="1"/>
  <c r="O1205" i="15"/>
  <c r="M1205" i="15"/>
  <c r="Q1205" i="15" s="1"/>
  <c r="S1205" i="15" s="1"/>
  <c r="Q1204" i="15"/>
  <c r="S1204" i="15" s="1"/>
  <c r="S1201" i="15"/>
  <c r="Q1201" i="15"/>
  <c r="Q1200" i="15"/>
  <c r="S1200" i="15" s="1"/>
  <c r="O1200" i="15"/>
  <c r="O1198" i="15"/>
  <c r="O1197" i="15"/>
  <c r="S1196" i="15"/>
  <c r="Q1196" i="15"/>
  <c r="J1196" i="15"/>
  <c r="J1197" i="15" s="1"/>
  <c r="O1195" i="15"/>
  <c r="M1195" i="15"/>
  <c r="Q1195" i="15" s="1"/>
  <c r="S1195" i="15" s="1"/>
  <c r="J1195" i="15"/>
  <c r="O1194" i="15"/>
  <c r="Q1194" i="15" s="1"/>
  <c r="S1194" i="15" s="1"/>
  <c r="M1194" i="15"/>
  <c r="S1193" i="15"/>
  <c r="Q1193" i="15"/>
  <c r="S1191" i="15"/>
  <c r="Q1191" i="15"/>
  <c r="J1191" i="15"/>
  <c r="J1201" i="15" s="1"/>
  <c r="Q1190" i="15"/>
  <c r="S1190" i="15" s="1"/>
  <c r="J1188" i="15"/>
  <c r="J1190" i="15" s="1"/>
  <c r="Q1187" i="15"/>
  <c r="S1187" i="15" s="1"/>
  <c r="O1187" i="15"/>
  <c r="Q1185" i="15"/>
  <c r="S1185" i="15" s="1"/>
  <c r="Q1184" i="15"/>
  <c r="S1184" i="15" s="1"/>
  <c r="S1182" i="15"/>
  <c r="Q1182" i="15"/>
  <c r="S1181" i="15"/>
  <c r="Q1181" i="15"/>
  <c r="Q1179" i="15"/>
  <c r="S1179" i="15" s="1"/>
  <c r="S1178" i="15"/>
  <c r="Q1178" i="15"/>
  <c r="S1176" i="15"/>
  <c r="Q1176" i="15"/>
  <c r="L1176" i="15"/>
  <c r="K1176" i="15"/>
  <c r="I1176" i="15"/>
  <c r="O1174" i="15"/>
  <c r="O1173" i="15"/>
  <c r="O1172" i="15"/>
  <c r="O1171" i="15"/>
  <c r="S1170" i="15"/>
  <c r="Q1170" i="15"/>
  <c r="O1166" i="15"/>
  <c r="O1165" i="15"/>
  <c r="O1163" i="15"/>
  <c r="O1162" i="15"/>
  <c r="O1161" i="15"/>
  <c r="O1160" i="15"/>
  <c r="Q1159" i="15"/>
  <c r="S1159" i="15" s="1"/>
  <c r="O1156" i="15"/>
  <c r="O1155" i="15"/>
  <c r="Q1153" i="15"/>
  <c r="S1153" i="15" s="1"/>
  <c r="M1153" i="15"/>
  <c r="L1153" i="15"/>
  <c r="K1153" i="15"/>
  <c r="I1153" i="15"/>
  <c r="Q1151" i="15"/>
  <c r="S1151" i="15" s="1"/>
  <c r="O1150" i="15"/>
  <c r="O1149" i="15"/>
  <c r="O1148" i="15"/>
  <c r="O1147" i="15"/>
  <c r="Q1146" i="15"/>
  <c r="S1146" i="15" s="1"/>
  <c r="Q1141" i="15"/>
  <c r="S1141" i="15" s="1"/>
  <c r="J1139" i="15"/>
  <c r="M1139" i="15" s="1"/>
  <c r="S1138" i="15"/>
  <c r="Q1138" i="15"/>
  <c r="I1138" i="15"/>
  <c r="I1139" i="15" s="1"/>
  <c r="O1136" i="15"/>
  <c r="O1135" i="15"/>
  <c r="O1134" i="15"/>
  <c r="O1133" i="15"/>
  <c r="J1133" i="15"/>
  <c r="M1133" i="15" s="1"/>
  <c r="Q1133" i="15" s="1"/>
  <c r="S1133" i="15" s="1"/>
  <c r="O1132" i="15"/>
  <c r="M1132" i="15"/>
  <c r="Q1132" i="15" s="1"/>
  <c r="S1132" i="15" s="1"/>
  <c r="Q1131" i="15"/>
  <c r="S1131" i="15" s="1"/>
  <c r="O1131" i="15"/>
  <c r="M1131" i="15"/>
  <c r="Q1130" i="15"/>
  <c r="S1130" i="15" s="1"/>
  <c r="T1128" i="15"/>
  <c r="S1128" i="15"/>
  <c r="Q1128" i="15"/>
  <c r="S1127" i="15"/>
  <c r="Q1127" i="15"/>
  <c r="O1125" i="15"/>
  <c r="M1125" i="15"/>
  <c r="Q1125" i="15" s="1"/>
  <c r="S1125" i="15" s="1"/>
  <c r="Q1124" i="15"/>
  <c r="S1124" i="15" s="1"/>
  <c r="Q1123" i="15"/>
  <c r="S1123" i="15" s="1"/>
  <c r="U1121" i="15"/>
  <c r="O1121" i="15"/>
  <c r="M1121" i="15"/>
  <c r="Q1121" i="15" s="1"/>
  <c r="S1121" i="15" s="1"/>
  <c r="Q1120" i="15"/>
  <c r="S1120" i="15" s="1"/>
  <c r="O1120" i="15"/>
  <c r="M1120" i="15"/>
  <c r="S1118" i="15"/>
  <c r="Q1118" i="15"/>
  <c r="U1117" i="15"/>
  <c r="M1117" i="15"/>
  <c r="Q1117" i="15" s="1"/>
  <c r="S1117" i="15" s="1"/>
  <c r="L1115" i="15"/>
  <c r="K1115" i="15"/>
  <c r="J1115" i="15"/>
  <c r="I1115" i="15"/>
  <c r="O1114" i="15"/>
  <c r="M1114" i="15"/>
  <c r="Q1114" i="15" s="1"/>
  <c r="S1114" i="15" s="1"/>
  <c r="O1113" i="15"/>
  <c r="M1113" i="15"/>
  <c r="M1115" i="15" s="1"/>
  <c r="Q1115" i="15" s="1"/>
  <c r="S1115" i="15" s="1"/>
  <c r="Q1112" i="15"/>
  <c r="S1112" i="15" s="1"/>
  <c r="O1111" i="15"/>
  <c r="M1111" i="15"/>
  <c r="Q1111" i="15" s="1"/>
  <c r="S1111" i="15" s="1"/>
  <c r="Q1110" i="15"/>
  <c r="S1110" i="15" s="1"/>
  <c r="O1110" i="15"/>
  <c r="M1110" i="15"/>
  <c r="O1109" i="15"/>
  <c r="Q1109" i="15" s="1"/>
  <c r="S1109" i="15" s="1"/>
  <c r="O1108" i="15"/>
  <c r="Q1108" i="15" s="1"/>
  <c r="S1108" i="15" s="1"/>
  <c r="S1107" i="15"/>
  <c r="Q1107" i="15"/>
  <c r="Q1106" i="15"/>
  <c r="S1106" i="15" s="1"/>
  <c r="M1105" i="15"/>
  <c r="Q1105" i="15" s="1"/>
  <c r="S1105" i="15" s="1"/>
  <c r="Q1104" i="15"/>
  <c r="S1104" i="15" s="1"/>
  <c r="O1104" i="15"/>
  <c r="M1104" i="15"/>
  <c r="Q1103" i="15"/>
  <c r="S1103" i="15" s="1"/>
  <c r="O1103" i="15"/>
  <c r="O1102" i="15"/>
  <c r="Q1102" i="15" s="1"/>
  <c r="S1102" i="15" s="1"/>
  <c r="M1102" i="15"/>
  <c r="O1101" i="15"/>
  <c r="M1101" i="15"/>
  <c r="Q1101" i="15" s="1"/>
  <c r="S1101" i="15" s="1"/>
  <c r="S1100" i="15"/>
  <c r="Q1100" i="15"/>
  <c r="Q1099" i="15"/>
  <c r="S1099" i="15" s="1"/>
  <c r="O1099" i="15"/>
  <c r="M1099" i="15"/>
  <c r="O1098" i="15"/>
  <c r="M1098" i="15"/>
  <c r="Q1098" i="15" s="1"/>
  <c r="S1098" i="15" s="1"/>
  <c r="Q1097" i="15"/>
  <c r="S1097" i="15" s="1"/>
  <c r="Q1095" i="15"/>
  <c r="S1095" i="15" s="1"/>
  <c r="Q1094" i="15"/>
  <c r="S1094" i="15" s="1"/>
  <c r="O1092" i="15"/>
  <c r="Q1092" i="15" s="1"/>
  <c r="S1092" i="15" s="1"/>
  <c r="O1091" i="15"/>
  <c r="Q1091" i="15" s="1"/>
  <c r="S1091" i="15" s="1"/>
  <c r="O1089" i="15"/>
  <c r="Q1089" i="15" s="1"/>
  <c r="S1089" i="15" s="1"/>
  <c r="J1089" i="15"/>
  <c r="S1088" i="15"/>
  <c r="J1088" i="15"/>
  <c r="O1088" i="15" s="1"/>
  <c r="Q1088" i="15" s="1"/>
  <c r="O1086" i="15"/>
  <c r="Q1086" i="15" s="1"/>
  <c r="S1086" i="15" s="1"/>
  <c r="O1085" i="15"/>
  <c r="Q1085" i="15" s="1"/>
  <c r="S1085" i="15" s="1"/>
  <c r="Q1083" i="15"/>
  <c r="S1083" i="15" s="1"/>
  <c r="Q1082" i="15"/>
  <c r="S1082" i="15" s="1"/>
  <c r="Q1080" i="15"/>
  <c r="S1080" i="15" s="1"/>
  <c r="O1078" i="15"/>
  <c r="O1077" i="15"/>
  <c r="O1076" i="15"/>
  <c r="O1075" i="15"/>
  <c r="Q1074" i="15"/>
  <c r="S1074" i="15" s="1"/>
  <c r="I1071" i="15"/>
  <c r="I1070" i="15"/>
  <c r="O1070" i="15" s="1"/>
  <c r="I1069" i="15"/>
  <c r="O1069" i="15" s="1"/>
  <c r="O1067" i="15"/>
  <c r="O1066" i="15"/>
  <c r="O1065" i="15"/>
  <c r="O1064" i="15"/>
  <c r="Q1063" i="15"/>
  <c r="S1063" i="15" s="1"/>
  <c r="Q1061" i="15"/>
  <c r="S1061" i="15" s="1"/>
  <c r="O1060" i="15"/>
  <c r="J1060" i="15"/>
  <c r="M1059" i="15"/>
  <c r="I1059" i="15"/>
  <c r="O1059" i="15" s="1"/>
  <c r="Q1059" i="15" s="1"/>
  <c r="S1059" i="15" s="1"/>
  <c r="Q1057" i="15"/>
  <c r="S1057" i="15" s="1"/>
  <c r="S1055" i="15"/>
  <c r="Q1055" i="15"/>
  <c r="O1054" i="15"/>
  <c r="O1053" i="15"/>
  <c r="O1052" i="15"/>
  <c r="T1051" i="15"/>
  <c r="T1052" i="15" s="1"/>
  <c r="T1053" i="15" s="1"/>
  <c r="T1054" i="15" s="1"/>
  <c r="T1055" i="15" s="1"/>
  <c r="O1051" i="15"/>
  <c r="Q1050" i="15"/>
  <c r="S1050" i="15" s="1"/>
  <c r="O1048" i="15"/>
  <c r="O1047" i="15"/>
  <c r="S1045" i="15"/>
  <c r="Q1045" i="15"/>
  <c r="S1042" i="15"/>
  <c r="Q1042" i="15"/>
  <c r="I1038" i="15"/>
  <c r="O1038" i="15" s="1"/>
  <c r="Q1037" i="15"/>
  <c r="S1037" i="15" s="1"/>
  <c r="J1037" i="15"/>
  <c r="M1037" i="15" s="1"/>
  <c r="I1037" i="15"/>
  <c r="O1037" i="15" s="1"/>
  <c r="Q1036" i="15"/>
  <c r="S1036" i="15" s="1"/>
  <c r="O1036" i="15"/>
  <c r="M1036" i="15"/>
  <c r="Q1035" i="15"/>
  <c r="S1035" i="15" s="1"/>
  <c r="M1032" i="15"/>
  <c r="Q1032" i="15" s="1"/>
  <c r="S1032" i="15" s="1"/>
  <c r="L1032" i="15"/>
  <c r="K1032" i="15"/>
  <c r="J1032" i="15"/>
  <c r="S1031" i="15"/>
  <c r="Q1031" i="15"/>
  <c r="O1029" i="15"/>
  <c r="M1029" i="15"/>
  <c r="Q1029" i="15" s="1"/>
  <c r="S1029" i="15" s="1"/>
  <c r="Q1028" i="15"/>
  <c r="S1028" i="15" s="1"/>
  <c r="Q1027" i="15"/>
  <c r="S1027" i="15" s="1"/>
  <c r="Q1025" i="15"/>
  <c r="S1025" i="15" s="1"/>
  <c r="V1024" i="15"/>
  <c r="Q1024" i="15"/>
  <c r="S1024" i="15" s="1"/>
  <c r="O1024" i="15"/>
  <c r="M1024" i="15"/>
  <c r="M1023" i="15"/>
  <c r="Q1023" i="15" s="1"/>
  <c r="S1023" i="15" s="1"/>
  <c r="Q1022" i="15"/>
  <c r="S1022" i="15" s="1"/>
  <c r="M1022" i="15"/>
  <c r="O1021" i="15"/>
  <c r="M1021" i="15"/>
  <c r="Q1021" i="15" s="1"/>
  <c r="S1021" i="15" s="1"/>
  <c r="J1021" i="15"/>
  <c r="J1022" i="15" s="1"/>
  <c r="J1023" i="15" s="1"/>
  <c r="M1020" i="15"/>
  <c r="Q1020" i="15" s="1"/>
  <c r="S1020" i="15" s="1"/>
  <c r="O1018" i="15"/>
  <c r="O1017" i="15"/>
  <c r="O1016" i="15"/>
  <c r="O1014" i="15"/>
  <c r="O1013" i="15"/>
  <c r="O1012" i="15"/>
  <c r="S1011" i="15"/>
  <c r="Q1011" i="15"/>
  <c r="Q1009" i="15"/>
  <c r="S1009" i="15" s="1"/>
  <c r="Q1008" i="15"/>
  <c r="S1008" i="15" s="1"/>
  <c r="Q1007" i="15"/>
  <c r="S1007" i="15" s="1"/>
  <c r="Q1005" i="15"/>
  <c r="S1005" i="15" s="1"/>
  <c r="O1004" i="15"/>
  <c r="Q1004" i="15" s="1"/>
  <c r="S1004" i="15" s="1"/>
  <c r="Q1003" i="15"/>
  <c r="S1003" i="15" s="1"/>
  <c r="O1003" i="15"/>
  <c r="Q1001" i="15"/>
  <c r="S1001" i="15" s="1"/>
  <c r="O1000" i="15"/>
  <c r="O999" i="15"/>
  <c r="S997" i="15"/>
  <c r="Q997" i="15"/>
  <c r="O996" i="15"/>
  <c r="J996" i="15"/>
  <c r="J999" i="15" s="1"/>
  <c r="Q995" i="15"/>
  <c r="S995" i="15" s="1"/>
  <c r="O995" i="15"/>
  <c r="M995" i="15"/>
  <c r="S993" i="15"/>
  <c r="Q993" i="15"/>
  <c r="Q992" i="15"/>
  <c r="S992" i="15" s="1"/>
  <c r="Q991" i="15"/>
  <c r="S991" i="15" s="1"/>
  <c r="O989" i="15"/>
  <c r="O988" i="15"/>
  <c r="O987" i="15"/>
  <c r="O986" i="15"/>
  <c r="Q985" i="15"/>
  <c r="S985" i="15" s="1"/>
  <c r="O982" i="15"/>
  <c r="O980" i="15"/>
  <c r="O979" i="15"/>
  <c r="O978" i="15"/>
  <c r="O977" i="15"/>
  <c r="Q976" i="15"/>
  <c r="S976" i="15" s="1"/>
  <c r="O973" i="15"/>
  <c r="O971" i="15"/>
  <c r="O970" i="15"/>
  <c r="S969" i="15"/>
  <c r="Q969" i="15"/>
  <c r="O967" i="15"/>
  <c r="O966" i="15"/>
  <c r="I965" i="15"/>
  <c r="O965" i="15" s="1"/>
  <c r="I964" i="15"/>
  <c r="O964" i="15" s="1"/>
  <c r="Q963" i="15"/>
  <c r="S963" i="15" s="1"/>
  <c r="O960" i="15"/>
  <c r="O958" i="15"/>
  <c r="O957" i="15"/>
  <c r="O956" i="15"/>
  <c r="I956" i="15"/>
  <c r="O955" i="15"/>
  <c r="I955" i="15"/>
  <c r="S954" i="15"/>
  <c r="Q954" i="15"/>
  <c r="Q953" i="15"/>
  <c r="S953" i="15" s="1"/>
  <c r="O951" i="15"/>
  <c r="O949" i="15"/>
  <c r="O948" i="15"/>
  <c r="O947" i="15"/>
  <c r="I947" i="15"/>
  <c r="O946" i="15"/>
  <c r="I946" i="15"/>
  <c r="S945" i="15"/>
  <c r="Q945" i="15"/>
  <c r="O942" i="15"/>
  <c r="J942" i="15"/>
  <c r="O940" i="15"/>
  <c r="M940" i="15"/>
  <c r="Q940" i="15" s="1"/>
  <c r="S940" i="15" s="1"/>
  <c r="S939" i="15"/>
  <c r="O939" i="15"/>
  <c r="J939" i="15"/>
  <c r="M939" i="15" s="1"/>
  <c r="Q939" i="15" s="1"/>
  <c r="Q938" i="15"/>
  <c r="S938" i="15" s="1"/>
  <c r="O938" i="15"/>
  <c r="M938" i="15"/>
  <c r="J938" i="15"/>
  <c r="O937" i="15"/>
  <c r="M937" i="15"/>
  <c r="Q935" i="15"/>
  <c r="S935" i="15" s="1"/>
  <c r="M935" i="15"/>
  <c r="M934" i="15"/>
  <c r="Q933" i="15"/>
  <c r="S933" i="15" s="1"/>
  <c r="O933" i="15"/>
  <c r="O934" i="15" s="1"/>
  <c r="O935" i="15" s="1"/>
  <c r="M933" i="15"/>
  <c r="Q932" i="15"/>
  <c r="S932" i="15" s="1"/>
  <c r="M932" i="15"/>
  <c r="Q931" i="15"/>
  <c r="P929" i="15"/>
  <c r="P930" i="15" s="1"/>
  <c r="P928" i="15"/>
  <c r="O928" i="15"/>
  <c r="Q928" i="15" s="1"/>
  <c r="S928" i="15" s="1"/>
  <c r="S927" i="15"/>
  <c r="Q927" i="15"/>
  <c r="I922" i="15"/>
  <c r="O922" i="15" s="1"/>
  <c r="O918" i="15"/>
  <c r="I918" i="15"/>
  <c r="I919" i="15" s="1"/>
  <c r="I920" i="15" s="1"/>
  <c r="O920" i="15" s="1"/>
  <c r="O917" i="15"/>
  <c r="O915" i="15"/>
  <c r="O914" i="15"/>
  <c r="O913" i="15"/>
  <c r="O912" i="15"/>
  <c r="I908" i="15"/>
  <c r="O908" i="15" s="1"/>
  <c r="O907" i="15"/>
  <c r="S896" i="15"/>
  <c r="Q896" i="15"/>
  <c r="S891" i="15"/>
  <c r="Q891" i="15"/>
  <c r="M890" i="15"/>
  <c r="O889" i="15"/>
  <c r="O890" i="15" s="1"/>
  <c r="M889" i="15"/>
  <c r="S888" i="15"/>
  <c r="O888" i="15"/>
  <c r="M888" i="15"/>
  <c r="Q888" i="15" s="1"/>
  <c r="M887" i="15"/>
  <c r="Q887" i="15" s="1"/>
  <c r="S887" i="15" s="1"/>
  <c r="Q880" i="15"/>
  <c r="S880" i="15" s="1"/>
  <c r="S879" i="15"/>
  <c r="Q879" i="15"/>
  <c r="Q878" i="15"/>
  <c r="S878" i="15" s="1"/>
  <c r="Q877" i="15"/>
  <c r="S877" i="15" s="1"/>
  <c r="S875" i="15"/>
  <c r="Q875" i="15"/>
  <c r="Q874" i="15"/>
  <c r="S874" i="15" s="1"/>
  <c r="K874" i="15"/>
  <c r="S873" i="15"/>
  <c r="Q873" i="15"/>
  <c r="N873" i="15"/>
  <c r="N874" i="15" s="1"/>
  <c r="N875" i="15" s="1"/>
  <c r="K873" i="15"/>
  <c r="J873" i="15"/>
  <c r="J878" i="15" s="1"/>
  <c r="J883" i="15" s="1"/>
  <c r="S872" i="15"/>
  <c r="Q872" i="15"/>
  <c r="J872" i="15"/>
  <c r="J877" i="15" s="1"/>
  <c r="J882" i="15" s="1"/>
  <c r="K870" i="15"/>
  <c r="J870" i="15"/>
  <c r="M870" i="15" s="1"/>
  <c r="K869" i="15"/>
  <c r="J869" i="15"/>
  <c r="M869" i="15" s="1"/>
  <c r="M868" i="15"/>
  <c r="K868" i="15"/>
  <c r="J868" i="15"/>
  <c r="K867" i="15"/>
  <c r="K872" i="15" s="1"/>
  <c r="J867" i="15"/>
  <c r="M865" i="15"/>
  <c r="M864" i="15"/>
  <c r="M863" i="15"/>
  <c r="I863" i="15"/>
  <c r="I864" i="15" s="1"/>
  <c r="Q862" i="15"/>
  <c r="S862" i="15" s="1"/>
  <c r="O862" i="15"/>
  <c r="M862" i="15"/>
  <c r="O860" i="15"/>
  <c r="J860" i="15"/>
  <c r="M860" i="15" s="1"/>
  <c r="Q860" i="15" s="1"/>
  <c r="S860" i="15" s="1"/>
  <c r="O858" i="15"/>
  <c r="M858" i="15"/>
  <c r="Q858" i="15" s="1"/>
  <c r="S858" i="15" s="1"/>
  <c r="Q857" i="15"/>
  <c r="S857" i="15" s="1"/>
  <c r="K854" i="15"/>
  <c r="M854" i="15" s="1"/>
  <c r="Q854" i="15" s="1"/>
  <c r="S854" i="15" s="1"/>
  <c r="J854" i="15"/>
  <c r="S853" i="15"/>
  <c r="M853" i="15"/>
  <c r="Q853" i="15" s="1"/>
  <c r="K853" i="15"/>
  <c r="J853" i="15"/>
  <c r="I853" i="15"/>
  <c r="I854" i="15" s="1"/>
  <c r="M852" i="15"/>
  <c r="Q852" i="15" s="1"/>
  <c r="S852" i="15" s="1"/>
  <c r="Q851" i="15"/>
  <c r="S851" i="15" s="1"/>
  <c r="S849" i="15"/>
  <c r="Q849" i="15"/>
  <c r="Q848" i="15"/>
  <c r="S848" i="15" s="1"/>
  <c r="Q847" i="15"/>
  <c r="S847" i="15" s="1"/>
  <c r="K846" i="15"/>
  <c r="M846" i="15" s="1"/>
  <c r="Q846" i="15" s="1"/>
  <c r="S846" i="15" s="1"/>
  <c r="J846" i="15"/>
  <c r="J847" i="15" s="1"/>
  <c r="J848" i="15" s="1"/>
  <c r="J849" i="15" s="1"/>
  <c r="M845" i="15"/>
  <c r="K845" i="15"/>
  <c r="J845" i="15"/>
  <c r="I845" i="15"/>
  <c r="I846" i="15" s="1"/>
  <c r="I847" i="15" s="1"/>
  <c r="I848" i="15" s="1"/>
  <c r="I849" i="15" s="1"/>
  <c r="O844" i="15"/>
  <c r="M844" i="15"/>
  <c r="Q844" i="15" s="1"/>
  <c r="S844" i="15" s="1"/>
  <c r="Q842" i="15"/>
  <c r="S842" i="15" s="1"/>
  <c r="S841" i="15"/>
  <c r="Q841" i="15"/>
  <c r="S840" i="15"/>
  <c r="Q840" i="15"/>
  <c r="M839" i="15"/>
  <c r="Q839" i="15" s="1"/>
  <c r="S839" i="15" s="1"/>
  <c r="O838" i="15"/>
  <c r="J838" i="15"/>
  <c r="J839" i="15" s="1"/>
  <c r="J840" i="15" s="1"/>
  <c r="J841" i="15" s="1"/>
  <c r="J842" i="15" s="1"/>
  <c r="Q837" i="15"/>
  <c r="S837" i="15" s="1"/>
  <c r="O837" i="15"/>
  <c r="M837" i="15"/>
  <c r="S835" i="15"/>
  <c r="Q835" i="15"/>
  <c r="O835" i="15"/>
  <c r="M835" i="15"/>
  <c r="M834" i="15"/>
  <c r="Q834" i="15" s="1"/>
  <c r="S834" i="15" s="1"/>
  <c r="Q833" i="15"/>
  <c r="S833" i="15" s="1"/>
  <c r="M833" i="15"/>
  <c r="S832" i="15"/>
  <c r="Q832" i="15"/>
  <c r="M832" i="15"/>
  <c r="S830" i="15"/>
  <c r="Q830" i="15"/>
  <c r="M830" i="15"/>
  <c r="S829" i="15"/>
  <c r="Q829" i="15"/>
  <c r="M829" i="15"/>
  <c r="M828" i="15"/>
  <c r="Q828" i="15" s="1"/>
  <c r="S828" i="15" s="1"/>
  <c r="Q827" i="15"/>
  <c r="S827" i="15" s="1"/>
  <c r="M827" i="15"/>
  <c r="Q825" i="15"/>
  <c r="S825" i="15" s="1"/>
  <c r="O825" i="15"/>
  <c r="M825" i="15"/>
  <c r="S824" i="15"/>
  <c r="Q824" i="15"/>
  <c r="S822" i="15"/>
  <c r="Q822" i="15"/>
  <c r="Q820" i="15"/>
  <c r="S820" i="15" s="1"/>
  <c r="M820" i="15"/>
  <c r="S819" i="15"/>
  <c r="Q819" i="15"/>
  <c r="M819" i="15"/>
  <c r="S817" i="15"/>
  <c r="Q817" i="15"/>
  <c r="S816" i="15"/>
  <c r="Q816" i="15"/>
  <c r="S815" i="15"/>
  <c r="Q815" i="15"/>
  <c r="Q813" i="15"/>
  <c r="S813" i="15" s="1"/>
  <c r="Q812" i="15"/>
  <c r="S812" i="15" s="1"/>
  <c r="Q811" i="15"/>
  <c r="S811" i="15" s="1"/>
  <c r="Q810" i="15"/>
  <c r="S810" i="15" s="1"/>
  <c r="Q809" i="15"/>
  <c r="S809" i="15" s="1"/>
  <c r="M809" i="15"/>
  <c r="Q807" i="15"/>
  <c r="S807" i="15" s="1"/>
  <c r="O807" i="15"/>
  <c r="M807" i="15"/>
  <c r="S806" i="15"/>
  <c r="Q806" i="15"/>
  <c r="S804" i="15"/>
  <c r="Q804" i="15"/>
  <c r="Q802" i="15"/>
  <c r="S802" i="15" s="1"/>
  <c r="Q801" i="15"/>
  <c r="S801" i="15" s="1"/>
  <c r="M801" i="15"/>
  <c r="Q799" i="15"/>
  <c r="S799" i="15" s="1"/>
  <c r="Q798" i="15"/>
  <c r="S798" i="15" s="1"/>
  <c r="Q797" i="15"/>
  <c r="S797" i="15" s="1"/>
  <c r="M797" i="15"/>
  <c r="M794" i="15"/>
  <c r="Q794" i="15" s="1"/>
  <c r="S794" i="15" s="1"/>
  <c r="Q793" i="15"/>
  <c r="S793" i="15" s="1"/>
  <c r="M793" i="15"/>
  <c r="S792" i="15"/>
  <c r="Q792" i="15"/>
  <c r="M792" i="15"/>
  <c r="M791" i="15"/>
  <c r="Q791" i="15" s="1"/>
  <c r="S791" i="15" s="1"/>
  <c r="S789" i="15"/>
  <c r="Q789" i="15"/>
  <c r="M789" i="15"/>
  <c r="M788" i="15"/>
  <c r="Q788" i="15" s="1"/>
  <c r="S788" i="15" s="1"/>
  <c r="M786" i="15"/>
  <c r="Q786" i="15" s="1"/>
  <c r="S786" i="15" s="1"/>
  <c r="Q785" i="15"/>
  <c r="S785" i="15" s="1"/>
  <c r="M785" i="15"/>
  <c r="S784" i="15"/>
  <c r="Q784" i="15"/>
  <c r="M784" i="15"/>
  <c r="S783" i="15"/>
  <c r="Q783" i="15"/>
  <c r="S781" i="15"/>
  <c r="Q781" i="15"/>
  <c r="M781" i="15"/>
  <c r="M780" i="15"/>
  <c r="Q780" i="15" s="1"/>
  <c r="S780" i="15" s="1"/>
  <c r="M779" i="15"/>
  <c r="Q779" i="15" s="1"/>
  <c r="S779" i="15" s="1"/>
  <c r="Q778" i="15"/>
  <c r="S778" i="15" s="1"/>
  <c r="M776" i="15"/>
  <c r="Q776" i="15" s="1"/>
  <c r="S776" i="15" s="1"/>
  <c r="Q775" i="15"/>
  <c r="S775" i="15" s="1"/>
  <c r="M775" i="15"/>
  <c r="S774" i="15"/>
  <c r="Q774" i="15"/>
  <c r="M774" i="15"/>
  <c r="M773" i="15"/>
  <c r="Q773" i="15" s="1"/>
  <c r="S773" i="15" s="1"/>
  <c r="M772" i="15"/>
  <c r="Q772" i="15" s="1"/>
  <c r="S772" i="15" s="1"/>
  <c r="Q771" i="15"/>
  <c r="S771" i="15" s="1"/>
  <c r="M771" i="15"/>
  <c r="S770" i="15"/>
  <c r="Q770" i="15"/>
  <c r="M770" i="15"/>
  <c r="M769" i="15"/>
  <c r="Q769" i="15" s="1"/>
  <c r="S769" i="15" s="1"/>
  <c r="M768" i="15"/>
  <c r="Q768" i="15" s="1"/>
  <c r="S768" i="15" s="1"/>
  <c r="Q767" i="15"/>
  <c r="S767" i="15" s="1"/>
  <c r="M767" i="15"/>
  <c r="S766" i="15"/>
  <c r="Q766" i="15"/>
  <c r="M766" i="15"/>
  <c r="M765" i="15"/>
  <c r="Q765" i="15" s="1"/>
  <c r="S765" i="15" s="1"/>
  <c r="Q764" i="15"/>
  <c r="S764" i="15" s="1"/>
  <c r="Q763" i="15"/>
  <c r="S763" i="15" s="1"/>
  <c r="O761" i="15"/>
  <c r="Q761" i="15" s="1"/>
  <c r="S761" i="15" s="1"/>
  <c r="Q760" i="15"/>
  <c r="S760" i="15" s="1"/>
  <c r="O759" i="15"/>
  <c r="Q759" i="15" s="1"/>
  <c r="S759" i="15" s="1"/>
  <c r="Q758" i="15"/>
  <c r="S758" i="15" s="1"/>
  <c r="O756" i="15"/>
  <c r="K755" i="15"/>
  <c r="J755" i="15"/>
  <c r="M755" i="15" s="1"/>
  <c r="I755" i="15"/>
  <c r="O755" i="15" s="1"/>
  <c r="K754" i="15"/>
  <c r="J754" i="15"/>
  <c r="M754" i="15" s="1"/>
  <c r="Q754" i="15" s="1"/>
  <c r="S754" i="15" s="1"/>
  <c r="K753" i="15"/>
  <c r="J753" i="15"/>
  <c r="M753" i="15" s="1"/>
  <c r="I753" i="15"/>
  <c r="S751" i="15"/>
  <c r="Q751" i="15"/>
  <c r="M751" i="15"/>
  <c r="S750" i="15"/>
  <c r="Q750" i="15"/>
  <c r="M750" i="15"/>
  <c r="I750" i="15"/>
  <c r="I754" i="15" s="1"/>
  <c r="Q749" i="15"/>
  <c r="S749" i="15" s="1"/>
  <c r="M749" i="15"/>
  <c r="S748" i="15"/>
  <c r="Q748" i="15"/>
  <c r="S745" i="15"/>
  <c r="Q745" i="15"/>
  <c r="M744" i="15"/>
  <c r="Q744" i="15" s="1"/>
  <c r="S744" i="15" s="1"/>
  <c r="Q743" i="15"/>
  <c r="S743" i="15" s="1"/>
  <c r="M743" i="15"/>
  <c r="Q741" i="15"/>
  <c r="S741" i="15" s="1"/>
  <c r="Q740" i="15"/>
  <c r="S740" i="15" s="1"/>
  <c r="S739" i="15"/>
  <c r="Q739" i="15"/>
  <c r="S737" i="15"/>
  <c r="Q737" i="15"/>
  <c r="S736" i="15"/>
  <c r="Q736" i="15"/>
  <c r="S735" i="15"/>
  <c r="Q735" i="15"/>
  <c r="S733" i="15"/>
  <c r="Q733" i="15"/>
  <c r="S732" i="15"/>
  <c r="Q732" i="15"/>
  <c r="O731" i="15"/>
  <c r="M731" i="15"/>
  <c r="Q731" i="15" s="1"/>
  <c r="S731" i="15" s="1"/>
  <c r="Q729" i="15"/>
  <c r="S729" i="15" s="1"/>
  <c r="Q728" i="15"/>
  <c r="S728" i="15" s="1"/>
  <c r="I728" i="15"/>
  <c r="I740" i="15" s="1"/>
  <c r="S727" i="15"/>
  <c r="Q727" i="15"/>
  <c r="I727" i="15"/>
  <c r="I739" i="15" s="1"/>
  <c r="S725" i="15"/>
  <c r="Q725" i="15"/>
  <c r="S724" i="15"/>
  <c r="Q724" i="15"/>
  <c r="K724" i="15"/>
  <c r="K725" i="15" s="1"/>
  <c r="I724" i="15"/>
  <c r="I736" i="15" s="1"/>
  <c r="Q723" i="15"/>
  <c r="S723" i="15" s="1"/>
  <c r="K723" i="15"/>
  <c r="I723" i="15"/>
  <c r="I735" i="15" s="1"/>
  <c r="M720" i="15"/>
  <c r="Q720" i="15" s="1"/>
  <c r="S720" i="15" s="1"/>
  <c r="K720" i="15"/>
  <c r="K721" i="15" s="1"/>
  <c r="M721" i="15" s="1"/>
  <c r="Q721" i="15" s="1"/>
  <c r="S721" i="15" s="1"/>
  <c r="I720" i="15"/>
  <c r="I732" i="15" s="1"/>
  <c r="K719" i="15"/>
  <c r="M719" i="15" s="1"/>
  <c r="Q719" i="15" s="1"/>
  <c r="S719" i="15" s="1"/>
  <c r="I719" i="15"/>
  <c r="Q717" i="15"/>
  <c r="S717" i="15" s="1"/>
  <c r="M717" i="15"/>
  <c r="K717" i="15"/>
  <c r="S716" i="15"/>
  <c r="Q716" i="15"/>
  <c r="M716" i="15"/>
  <c r="M715" i="15"/>
  <c r="Q715" i="15" s="1"/>
  <c r="S715" i="15" s="1"/>
  <c r="Q713" i="15"/>
  <c r="S713" i="15" s="1"/>
  <c r="M712" i="15"/>
  <c r="Q712" i="15" s="1"/>
  <c r="S712" i="15" s="1"/>
  <c r="Q711" i="15"/>
  <c r="S711" i="15" s="1"/>
  <c r="M711" i="15"/>
  <c r="Q709" i="15"/>
  <c r="S709" i="15" s="1"/>
  <c r="Q708" i="15"/>
  <c r="S708" i="15" s="1"/>
  <c r="S707" i="15"/>
  <c r="Q707" i="15"/>
  <c r="S705" i="15"/>
  <c r="Q705" i="15"/>
  <c r="S704" i="15"/>
  <c r="Q704" i="15"/>
  <c r="S703" i="15"/>
  <c r="Q703" i="15"/>
  <c r="S701" i="15"/>
  <c r="Q701" i="15"/>
  <c r="S700" i="15"/>
  <c r="Q700" i="15"/>
  <c r="O699" i="15"/>
  <c r="M699" i="15"/>
  <c r="Q699" i="15" s="1"/>
  <c r="S699" i="15" s="1"/>
  <c r="Q697" i="15"/>
  <c r="S697" i="15" s="1"/>
  <c r="Q696" i="15"/>
  <c r="S696" i="15" s="1"/>
  <c r="I696" i="15"/>
  <c r="I708" i="15" s="1"/>
  <c r="S695" i="15"/>
  <c r="Q695" i="15"/>
  <c r="I695" i="15"/>
  <c r="I707" i="15" s="1"/>
  <c r="S693" i="15"/>
  <c r="Q693" i="15"/>
  <c r="S692" i="15"/>
  <c r="Q692" i="15"/>
  <c r="K692" i="15"/>
  <c r="I692" i="15"/>
  <c r="I704" i="15" s="1"/>
  <c r="Q691" i="15"/>
  <c r="S691" i="15" s="1"/>
  <c r="K691" i="15"/>
  <c r="K693" i="15" s="1"/>
  <c r="I691" i="15"/>
  <c r="I703" i="15" s="1"/>
  <c r="M688" i="15"/>
  <c r="Q688" i="15" s="1"/>
  <c r="S688" i="15" s="1"/>
  <c r="K688" i="15"/>
  <c r="I688" i="15"/>
  <c r="I700" i="15" s="1"/>
  <c r="K687" i="15"/>
  <c r="M687" i="15" s="1"/>
  <c r="Q687" i="15" s="1"/>
  <c r="S687" i="15" s="1"/>
  <c r="I687" i="15"/>
  <c r="Q685" i="15"/>
  <c r="S685" i="15" s="1"/>
  <c r="M685" i="15"/>
  <c r="K685" i="15"/>
  <c r="S684" i="15"/>
  <c r="Q684" i="15"/>
  <c r="M684" i="15"/>
  <c r="M683" i="15"/>
  <c r="Q683" i="15" s="1"/>
  <c r="S683" i="15" s="1"/>
  <c r="S680" i="15"/>
  <c r="Q680" i="15"/>
  <c r="O680" i="15"/>
  <c r="O679" i="15"/>
  <c r="J679" i="15"/>
  <c r="M679" i="15" s="1"/>
  <c r="Q679" i="15" s="1"/>
  <c r="S679" i="15" s="1"/>
  <c r="I679" i="15"/>
  <c r="S678" i="15"/>
  <c r="Q678" i="15"/>
  <c r="I678" i="15"/>
  <c r="Q677" i="15"/>
  <c r="S677" i="15" s="1"/>
  <c r="I677" i="15"/>
  <c r="O676" i="15"/>
  <c r="J676" i="15"/>
  <c r="M676" i="15" s="1"/>
  <c r="Q676" i="15" s="1"/>
  <c r="S676" i="15" s="1"/>
  <c r="I676" i="15"/>
  <c r="O675" i="15"/>
  <c r="I675" i="15"/>
  <c r="M675" i="15" s="1"/>
  <c r="Q675" i="15" s="1"/>
  <c r="S675" i="15" s="1"/>
  <c r="Q673" i="15"/>
  <c r="S673" i="15" s="1"/>
  <c r="I673" i="15"/>
  <c r="S672" i="15"/>
  <c r="Q672" i="15"/>
  <c r="Q669" i="15"/>
  <c r="S669" i="15" s="1"/>
  <c r="O669" i="15"/>
  <c r="M669" i="15"/>
  <c r="J669" i="15"/>
  <c r="I669" i="15"/>
  <c r="Q668" i="15"/>
  <c r="S668" i="15" s="1"/>
  <c r="I668" i="15"/>
  <c r="S667" i="15"/>
  <c r="Q667" i="15"/>
  <c r="I667" i="15"/>
  <c r="O666" i="15"/>
  <c r="M666" i="15"/>
  <c r="Q666" i="15" s="1"/>
  <c r="S666" i="15" s="1"/>
  <c r="J666" i="15"/>
  <c r="I666" i="15"/>
  <c r="O665" i="15"/>
  <c r="M665" i="15"/>
  <c r="Q665" i="15" s="1"/>
  <c r="S665" i="15" s="1"/>
  <c r="I665" i="15"/>
  <c r="Q663" i="15"/>
  <c r="S663" i="15" s="1"/>
  <c r="I663" i="15"/>
  <c r="S662" i="15"/>
  <c r="Q662" i="15"/>
  <c r="O659" i="15"/>
  <c r="J659" i="15"/>
  <c r="M659" i="15" s="1"/>
  <c r="Q659" i="15" s="1"/>
  <c r="S659" i="15" s="1"/>
  <c r="Q658" i="15"/>
  <c r="S658" i="15" s="1"/>
  <c r="O658" i="15"/>
  <c r="M658" i="15"/>
  <c r="J658" i="15"/>
  <c r="O657" i="15"/>
  <c r="M657" i="15"/>
  <c r="S656" i="15"/>
  <c r="Q656" i="15"/>
  <c r="Q655" i="15"/>
  <c r="S655" i="15" s="1"/>
  <c r="S654" i="15"/>
  <c r="Q654" i="15"/>
  <c r="Q653" i="15"/>
  <c r="S653" i="15" s="1"/>
  <c r="S652" i="15"/>
  <c r="Q652" i="15"/>
  <c r="Q651" i="15"/>
  <c r="S651" i="15" s="1"/>
  <c r="S650" i="15"/>
  <c r="Q650" i="15"/>
  <c r="J650" i="15"/>
  <c r="J651" i="15" s="1"/>
  <c r="J652" i="15" s="1"/>
  <c r="J653" i="15" s="1"/>
  <c r="J654" i="15" s="1"/>
  <c r="J655" i="15" s="1"/>
  <c r="J656" i="15" s="1"/>
  <c r="Q649" i="15"/>
  <c r="S649" i="15" s="1"/>
  <c r="Q648" i="15"/>
  <c r="S648" i="15" s="1"/>
  <c r="O648" i="15"/>
  <c r="M648" i="15"/>
  <c r="J648" i="15"/>
  <c r="S647" i="15"/>
  <c r="O646" i="15"/>
  <c r="M646" i="15"/>
  <c r="Q646" i="15" s="1"/>
  <c r="S646" i="15" s="1"/>
  <c r="Q645" i="15"/>
  <c r="S645" i="15" s="1"/>
  <c r="Q642" i="15"/>
  <c r="S642" i="15" s="1"/>
  <c r="S641" i="15"/>
  <c r="Q641" i="15"/>
  <c r="J641" i="15"/>
  <c r="J642" i="15" s="1"/>
  <c r="Q640" i="15"/>
  <c r="S640" i="15" s="1"/>
  <c r="Q639" i="15"/>
  <c r="S639" i="15" s="1"/>
  <c r="Q637" i="15"/>
  <c r="S637" i="15" s="1"/>
  <c r="Q636" i="15"/>
  <c r="S636" i="15" s="1"/>
  <c r="O636" i="15"/>
  <c r="M636" i="15"/>
  <c r="Q635" i="15"/>
  <c r="S635" i="15" s="1"/>
  <c r="O634" i="15"/>
  <c r="M634" i="15"/>
  <c r="Q634" i="15" s="1"/>
  <c r="S634" i="15" s="1"/>
  <c r="S632" i="15"/>
  <c r="Q632" i="15"/>
  <c r="O631" i="15"/>
  <c r="Q631" i="15" s="1"/>
  <c r="S631" i="15" s="1"/>
  <c r="M631" i="15"/>
  <c r="S630" i="15"/>
  <c r="Q630" i="15"/>
  <c r="S629" i="15"/>
  <c r="O629" i="15"/>
  <c r="M629" i="15"/>
  <c r="Q629" i="15" s="1"/>
  <c r="Q627" i="15"/>
  <c r="S627" i="15" s="1"/>
  <c r="Q626" i="15"/>
  <c r="S626" i="15" s="1"/>
  <c r="Q625" i="15"/>
  <c r="S625" i="15" s="1"/>
  <c r="O623" i="15"/>
  <c r="M623" i="15"/>
  <c r="Q623" i="15" s="1"/>
  <c r="S623" i="15" s="1"/>
  <c r="O622" i="15"/>
  <c r="Q622" i="15" s="1"/>
  <c r="S622" i="15" s="1"/>
  <c r="M622" i="15"/>
  <c r="S621" i="15"/>
  <c r="O621" i="15"/>
  <c r="M621" i="15"/>
  <c r="Q621" i="15" s="1"/>
  <c r="O620" i="15"/>
  <c r="M620" i="15"/>
  <c r="Q618" i="15"/>
  <c r="S618" i="15" s="1"/>
  <c r="O618" i="15"/>
  <c r="S617" i="15"/>
  <c r="Q617" i="15"/>
  <c r="S616" i="15"/>
  <c r="Q616" i="15"/>
  <c r="O614" i="15"/>
  <c r="J614" i="15"/>
  <c r="M614" i="15" s="1"/>
  <c r="Q614" i="15" s="1"/>
  <c r="S614" i="15" s="1"/>
  <c r="M613" i="15"/>
  <c r="Q613" i="15" s="1"/>
  <c r="S613" i="15" s="1"/>
  <c r="Q612" i="15"/>
  <c r="S612" i="15" s="1"/>
  <c r="O610" i="15"/>
  <c r="M610" i="15"/>
  <c r="Q610" i="15" s="1"/>
  <c r="S610" i="15" s="1"/>
  <c r="J610" i="15"/>
  <c r="M609" i="15"/>
  <c r="Q609" i="15" s="1"/>
  <c r="S609" i="15" s="1"/>
  <c r="O608" i="15"/>
  <c r="M608" i="15"/>
  <c r="Q608" i="15" s="1"/>
  <c r="S608" i="15" s="1"/>
  <c r="Q606" i="15"/>
  <c r="S606" i="15" s="1"/>
  <c r="Q605" i="15"/>
  <c r="S605" i="15" s="1"/>
  <c r="Q602" i="15"/>
  <c r="S602" i="15" s="1"/>
  <c r="S601" i="15"/>
  <c r="Q601" i="15"/>
  <c r="S600" i="15"/>
  <c r="Q600" i="15"/>
  <c r="Q599" i="15"/>
  <c r="S599" i="15" s="1"/>
  <c r="Q598" i="15"/>
  <c r="S598" i="15" s="1"/>
  <c r="Q596" i="15"/>
  <c r="S596" i="15" s="1"/>
  <c r="S595" i="15"/>
  <c r="Q595" i="15"/>
  <c r="J595" i="15"/>
  <c r="J596" i="15" s="1"/>
  <c r="O594" i="15"/>
  <c r="M594" i="15"/>
  <c r="Q594" i="15" s="1"/>
  <c r="S594" i="15" s="1"/>
  <c r="Q593" i="15"/>
  <c r="S593" i="15" s="1"/>
  <c r="O592" i="15"/>
  <c r="O590" i="15"/>
  <c r="I590" i="15"/>
  <c r="O588" i="15"/>
  <c r="Q585" i="15"/>
  <c r="S585" i="15" s="1"/>
  <c r="S583" i="15"/>
  <c r="Q583" i="15"/>
  <c r="J583" i="15"/>
  <c r="S582" i="15"/>
  <c r="Q582" i="15"/>
  <c r="J582" i="15"/>
  <c r="M580" i="15"/>
  <c r="I580" i="15"/>
  <c r="I583" i="15" s="1"/>
  <c r="O579" i="15"/>
  <c r="Q579" i="15" s="1"/>
  <c r="S579" i="15" s="1"/>
  <c r="M579" i="15"/>
  <c r="S578" i="15"/>
  <c r="Q578" i="15"/>
  <c r="O577" i="15"/>
  <c r="M577" i="15"/>
  <c r="Q577" i="15" s="1"/>
  <c r="S577" i="15" s="1"/>
  <c r="S576" i="15"/>
  <c r="Q576" i="15"/>
  <c r="Q573" i="15"/>
  <c r="S573" i="15" s="1"/>
  <c r="O572" i="15"/>
  <c r="Q572" i="15" s="1"/>
  <c r="S572" i="15" s="1"/>
  <c r="O570" i="15"/>
  <c r="O569" i="15"/>
  <c r="Q568" i="15"/>
  <c r="S568" i="15" s="1"/>
  <c r="O567" i="15"/>
  <c r="J567" i="15"/>
  <c r="M567" i="15" s="1"/>
  <c r="Q567" i="15" s="1"/>
  <c r="S567" i="15" s="1"/>
  <c r="O566" i="15"/>
  <c r="M566" i="15"/>
  <c r="Q566" i="15" s="1"/>
  <c r="S566" i="15" s="1"/>
  <c r="Q565" i="15"/>
  <c r="S565" i="15" s="1"/>
  <c r="Q563" i="15"/>
  <c r="S563" i="15" s="1"/>
  <c r="S562" i="15"/>
  <c r="Q562" i="15"/>
  <c r="J562" i="15"/>
  <c r="O560" i="15"/>
  <c r="Q560" i="15" s="1"/>
  <c r="S560" i="15" s="1"/>
  <c r="J560" i="15"/>
  <c r="J563" i="15" s="1"/>
  <c r="O559" i="15"/>
  <c r="Q559" i="15" s="1"/>
  <c r="S559" i="15" s="1"/>
  <c r="S557" i="15"/>
  <c r="Q557" i="15"/>
  <c r="S556" i="15"/>
  <c r="Q556" i="15"/>
  <c r="Q554" i="15"/>
  <c r="S554" i="15" s="1"/>
  <c r="Q553" i="15"/>
  <c r="S553" i="15" s="1"/>
  <c r="S551" i="15"/>
  <c r="Q551" i="15"/>
  <c r="Q550" i="15"/>
  <c r="S550" i="15" s="1"/>
  <c r="Q548" i="15"/>
  <c r="S548" i="15" s="1"/>
  <c r="L548" i="15"/>
  <c r="K548" i="15"/>
  <c r="I548" i="15"/>
  <c r="O546" i="15"/>
  <c r="O545" i="15"/>
  <c r="O544" i="15"/>
  <c r="O543" i="15"/>
  <c r="S542" i="15"/>
  <c r="Q542" i="15"/>
  <c r="O538" i="15"/>
  <c r="O537" i="15"/>
  <c r="O535" i="15"/>
  <c r="O534" i="15"/>
  <c r="O533" i="15"/>
  <c r="O532" i="15"/>
  <c r="Q531" i="15"/>
  <c r="S531" i="15" s="1"/>
  <c r="O528" i="15"/>
  <c r="O527" i="15"/>
  <c r="M525" i="15"/>
  <c r="Q525" i="15" s="1"/>
  <c r="S525" i="15" s="1"/>
  <c r="L525" i="15"/>
  <c r="K525" i="15"/>
  <c r="I525" i="15"/>
  <c r="S523" i="15"/>
  <c r="Q523" i="15"/>
  <c r="O522" i="15"/>
  <c r="O521" i="15"/>
  <c r="O520" i="15"/>
  <c r="O519" i="15"/>
  <c r="Q518" i="15"/>
  <c r="S518" i="15" s="1"/>
  <c r="Q513" i="15"/>
  <c r="S513" i="15" s="1"/>
  <c r="M511" i="15"/>
  <c r="J511" i="15"/>
  <c r="J512" i="15" s="1"/>
  <c r="I511" i="15"/>
  <c r="O511" i="15" s="1"/>
  <c r="Q510" i="15"/>
  <c r="S510" i="15" s="1"/>
  <c r="I510" i="15"/>
  <c r="O508" i="15"/>
  <c r="O507" i="15"/>
  <c r="O506" i="15"/>
  <c r="O505" i="15"/>
  <c r="J505" i="15"/>
  <c r="J506" i="15" s="1"/>
  <c r="O504" i="15"/>
  <c r="M504" i="15"/>
  <c r="Q504" i="15" s="1"/>
  <c r="S504" i="15" s="1"/>
  <c r="O503" i="15"/>
  <c r="M503" i="15"/>
  <c r="Q503" i="15" s="1"/>
  <c r="S503" i="15" s="1"/>
  <c r="Q502" i="15"/>
  <c r="S502" i="15" s="1"/>
  <c r="T500" i="15"/>
  <c r="S500" i="15"/>
  <c r="Q500" i="15"/>
  <c r="S499" i="15"/>
  <c r="Q499" i="15"/>
  <c r="Q497" i="15"/>
  <c r="S497" i="15" s="1"/>
  <c r="O497" i="15"/>
  <c r="M497" i="15"/>
  <c r="Q496" i="15"/>
  <c r="S496" i="15" s="1"/>
  <c r="Q495" i="15"/>
  <c r="S495" i="15" s="1"/>
  <c r="U493" i="15"/>
  <c r="O493" i="15"/>
  <c r="M493" i="15"/>
  <c r="Q493" i="15" s="1"/>
  <c r="S493" i="15" s="1"/>
  <c r="Q492" i="15"/>
  <c r="S492" i="15" s="1"/>
  <c r="O492" i="15"/>
  <c r="M492" i="15"/>
  <c r="S490" i="15"/>
  <c r="Q490" i="15"/>
  <c r="U489" i="15"/>
  <c r="Q489" i="15"/>
  <c r="S489" i="15" s="1"/>
  <c r="M489" i="15"/>
  <c r="Q487" i="15"/>
  <c r="S487" i="15" s="1"/>
  <c r="M487" i="15"/>
  <c r="O486" i="15"/>
  <c r="M486" i="15"/>
  <c r="Q486" i="15" s="1"/>
  <c r="S486" i="15" s="1"/>
  <c r="O485" i="15"/>
  <c r="Q485" i="15" s="1"/>
  <c r="S485" i="15" s="1"/>
  <c r="O484" i="15"/>
  <c r="M484" i="15"/>
  <c r="Q484" i="15" s="1"/>
  <c r="S484" i="15" s="1"/>
  <c r="Q483" i="15"/>
  <c r="S483" i="15" s="1"/>
  <c r="O483" i="15"/>
  <c r="M483" i="15"/>
  <c r="Q482" i="15"/>
  <c r="S482" i="15" s="1"/>
  <c r="O481" i="15"/>
  <c r="M481" i="15"/>
  <c r="Q481" i="15" s="1"/>
  <c r="S481" i="15" s="1"/>
  <c r="Q480" i="15"/>
  <c r="S480" i="15" s="1"/>
  <c r="O480" i="15"/>
  <c r="M480" i="15"/>
  <c r="Q479" i="15"/>
  <c r="S479" i="15" s="1"/>
  <c r="S477" i="15"/>
  <c r="Q477" i="15"/>
  <c r="S476" i="15"/>
  <c r="Q476" i="15"/>
  <c r="Q474" i="15"/>
  <c r="S474" i="15" s="1"/>
  <c r="O474" i="15"/>
  <c r="O473" i="15"/>
  <c r="Q473" i="15" s="1"/>
  <c r="S473" i="15" s="1"/>
  <c r="O471" i="15"/>
  <c r="Q471" i="15" s="1"/>
  <c r="S471" i="15" s="1"/>
  <c r="J471" i="15"/>
  <c r="O470" i="15"/>
  <c r="Q470" i="15" s="1"/>
  <c r="S470" i="15" s="1"/>
  <c r="J470" i="15"/>
  <c r="Q468" i="15"/>
  <c r="S468" i="15" s="1"/>
  <c r="O468" i="15"/>
  <c r="O467" i="15"/>
  <c r="Q467" i="15" s="1"/>
  <c r="S467" i="15" s="1"/>
  <c r="S465" i="15"/>
  <c r="Q465" i="15"/>
  <c r="Q464" i="15"/>
  <c r="S464" i="15" s="1"/>
  <c r="Q462" i="15"/>
  <c r="S462" i="15" s="1"/>
  <c r="O460" i="15"/>
  <c r="O459" i="15"/>
  <c r="O458" i="15"/>
  <c r="O457" i="15"/>
  <c r="Q456" i="15"/>
  <c r="S456" i="15" s="1"/>
  <c r="I453" i="15"/>
  <c r="O452" i="15"/>
  <c r="I452" i="15"/>
  <c r="O451" i="15"/>
  <c r="I451" i="15"/>
  <c r="O449" i="15"/>
  <c r="O448" i="15"/>
  <c r="O447" i="15"/>
  <c r="O446" i="15"/>
  <c r="Q445" i="15"/>
  <c r="S445" i="15" s="1"/>
  <c r="Q443" i="15"/>
  <c r="S443" i="15" s="1"/>
  <c r="O442" i="15"/>
  <c r="J442" i="15"/>
  <c r="M442" i="15" s="1"/>
  <c r="Q442" i="15" s="1"/>
  <c r="S442" i="15" s="1"/>
  <c r="M441" i="15"/>
  <c r="Q441" i="15" s="1"/>
  <c r="S441" i="15" s="1"/>
  <c r="I441" i="15"/>
  <c r="O441" i="15" s="1"/>
  <c r="Q439" i="15"/>
  <c r="S439" i="15" s="1"/>
  <c r="S437" i="15"/>
  <c r="Q437" i="15"/>
  <c r="O436" i="15"/>
  <c r="O435" i="15"/>
  <c r="O434" i="15"/>
  <c r="T433" i="15"/>
  <c r="T434" i="15" s="1"/>
  <c r="T435" i="15" s="1"/>
  <c r="T436" i="15" s="1"/>
  <c r="T437" i="15" s="1"/>
  <c r="O433" i="15"/>
  <c r="Q432" i="15"/>
  <c r="S432" i="15" s="1"/>
  <c r="O430" i="15"/>
  <c r="O429" i="15"/>
  <c r="S427" i="15"/>
  <c r="Q427" i="15"/>
  <c r="S424" i="15"/>
  <c r="Q424" i="15"/>
  <c r="M421" i="15"/>
  <c r="M419" i="15"/>
  <c r="J419" i="15"/>
  <c r="J420" i="15" s="1"/>
  <c r="J421" i="15" s="1"/>
  <c r="J422" i="15" s="1"/>
  <c r="J424" i="15" s="1"/>
  <c r="J425" i="15" s="1"/>
  <c r="I419" i="15"/>
  <c r="I420" i="15" s="1"/>
  <c r="O418" i="15"/>
  <c r="M418" i="15"/>
  <c r="Q418" i="15" s="1"/>
  <c r="S418" i="15" s="1"/>
  <c r="Q417" i="15"/>
  <c r="S417" i="15" s="1"/>
  <c r="S414" i="15"/>
  <c r="M414" i="15"/>
  <c r="Q414" i="15" s="1"/>
  <c r="L414" i="15"/>
  <c r="K414" i="15"/>
  <c r="J414" i="15"/>
  <c r="S413" i="15"/>
  <c r="Q413" i="15"/>
  <c r="Q411" i="15"/>
  <c r="S411" i="15" s="1"/>
  <c r="O411" i="15"/>
  <c r="M411" i="15"/>
  <c r="Q410" i="15"/>
  <c r="S410" i="15" s="1"/>
  <c r="Q409" i="15"/>
  <c r="S409" i="15" s="1"/>
  <c r="S407" i="15"/>
  <c r="Q407" i="15"/>
  <c r="V406" i="15"/>
  <c r="Q406" i="15"/>
  <c r="S406" i="15" s="1"/>
  <c r="O406" i="15"/>
  <c r="M406" i="15"/>
  <c r="Q405" i="15"/>
  <c r="S405" i="15" s="1"/>
  <c r="M405" i="15"/>
  <c r="Q404" i="15"/>
  <c r="S404" i="15" s="1"/>
  <c r="M404" i="15"/>
  <c r="J404" i="15"/>
  <c r="J405" i="15" s="1"/>
  <c r="Q403" i="15"/>
  <c r="S403" i="15" s="1"/>
  <c r="O403" i="15"/>
  <c r="M403" i="15"/>
  <c r="J403" i="15"/>
  <c r="M402" i="15"/>
  <c r="Q402" i="15" s="1"/>
  <c r="S402" i="15" s="1"/>
  <c r="O400" i="15"/>
  <c r="O399" i="15"/>
  <c r="O398" i="15"/>
  <c r="O396" i="15"/>
  <c r="O395" i="15"/>
  <c r="O394" i="15"/>
  <c r="S393" i="15"/>
  <c r="Q393" i="15"/>
  <c r="Q391" i="15"/>
  <c r="S391" i="15" s="1"/>
  <c r="Q390" i="15"/>
  <c r="S390" i="15" s="1"/>
  <c r="Q389" i="15"/>
  <c r="S389" i="15" s="1"/>
  <c r="S387" i="15"/>
  <c r="Q387" i="15"/>
  <c r="O386" i="15"/>
  <c r="Q386" i="15" s="1"/>
  <c r="S386" i="15" s="1"/>
  <c r="Q385" i="15"/>
  <c r="S385" i="15" s="1"/>
  <c r="O385" i="15"/>
  <c r="Q383" i="15"/>
  <c r="S383" i="15" s="1"/>
  <c r="O382" i="15"/>
  <c r="O381" i="15"/>
  <c r="S379" i="15"/>
  <c r="Q379" i="15"/>
  <c r="O378" i="15"/>
  <c r="M378" i="15"/>
  <c r="Q378" i="15" s="1"/>
  <c r="S378" i="15" s="1"/>
  <c r="J378" i="15"/>
  <c r="J381" i="15" s="1"/>
  <c r="O377" i="15"/>
  <c r="Q377" i="15" s="1"/>
  <c r="S377" i="15" s="1"/>
  <c r="M377" i="15"/>
  <c r="Q375" i="15"/>
  <c r="S375" i="15" s="1"/>
  <c r="S374" i="15"/>
  <c r="Q374" i="15"/>
  <c r="Q373" i="15"/>
  <c r="S373" i="15" s="1"/>
  <c r="O371" i="15"/>
  <c r="O370" i="15"/>
  <c r="O369" i="15"/>
  <c r="O368" i="15"/>
  <c r="Q367" i="15"/>
  <c r="S367" i="15" s="1"/>
  <c r="O364" i="15"/>
  <c r="O362" i="15"/>
  <c r="O361" i="15"/>
  <c r="O360" i="15"/>
  <c r="O359" i="15"/>
  <c r="Q358" i="15"/>
  <c r="S358" i="15" s="1"/>
  <c r="O355" i="15"/>
  <c r="O353" i="15"/>
  <c r="O352" i="15"/>
  <c r="Q351" i="15"/>
  <c r="S351" i="15" s="1"/>
  <c r="O349" i="15"/>
  <c r="O348" i="15"/>
  <c r="I347" i="15"/>
  <c r="O347" i="15" s="1"/>
  <c r="I346" i="15"/>
  <c r="O346" i="15" s="1"/>
  <c r="Q345" i="15"/>
  <c r="S345" i="15" s="1"/>
  <c r="O342" i="15"/>
  <c r="O340" i="15"/>
  <c r="O339" i="15"/>
  <c r="I338" i="15"/>
  <c r="O338" i="15" s="1"/>
  <c r="I337" i="15"/>
  <c r="O337" i="15" s="1"/>
  <c r="Q336" i="15"/>
  <c r="S336" i="15" s="1"/>
  <c r="S335" i="15"/>
  <c r="Q335" i="15"/>
  <c r="O333" i="15"/>
  <c r="O331" i="15"/>
  <c r="O330" i="15"/>
  <c r="I329" i="15"/>
  <c r="O329" i="15" s="1"/>
  <c r="I328" i="15"/>
  <c r="O328" i="15" s="1"/>
  <c r="Q327" i="15"/>
  <c r="S327" i="15" s="1"/>
  <c r="O324" i="15"/>
  <c r="O322" i="15"/>
  <c r="M322" i="15"/>
  <c r="Q322" i="15" s="1"/>
  <c r="S322" i="15" s="1"/>
  <c r="O321" i="15"/>
  <c r="O320" i="15"/>
  <c r="J320" i="15"/>
  <c r="M320" i="15" s="1"/>
  <c r="Q320" i="15" s="1"/>
  <c r="S320" i="15" s="1"/>
  <c r="O319" i="15"/>
  <c r="M319" i="15"/>
  <c r="Q319" i="15" s="1"/>
  <c r="S319" i="15" s="1"/>
  <c r="M317" i="15"/>
  <c r="M316" i="15"/>
  <c r="O315" i="15"/>
  <c r="O316" i="15" s="1"/>
  <c r="M315" i="15"/>
  <c r="Q315" i="15" s="1"/>
  <c r="S315" i="15" s="1"/>
  <c r="M314" i="15"/>
  <c r="Q314" i="15" s="1"/>
  <c r="S314" i="15" s="1"/>
  <c r="Q313" i="15"/>
  <c r="P310" i="15"/>
  <c r="P311" i="15" s="1"/>
  <c r="P312" i="15" s="1"/>
  <c r="O310" i="15"/>
  <c r="O311" i="15" s="1"/>
  <c r="Q309" i="15"/>
  <c r="S309" i="15" s="1"/>
  <c r="O304" i="15"/>
  <c r="I304" i="15"/>
  <c r="I305" i="15" s="1"/>
  <c r="I300" i="15"/>
  <c r="I301" i="15" s="1"/>
  <c r="O299" i="15"/>
  <c r="O297" i="15"/>
  <c r="O296" i="15"/>
  <c r="O295" i="15"/>
  <c r="O294" i="15"/>
  <c r="O290" i="15"/>
  <c r="I290" i="15"/>
  <c r="I291" i="15" s="1"/>
  <c r="O289" i="15"/>
  <c r="Q278" i="15"/>
  <c r="S278" i="15" s="1"/>
  <c r="S273" i="15"/>
  <c r="Q273" i="15"/>
  <c r="M272" i="15"/>
  <c r="M271" i="15"/>
  <c r="O270" i="15"/>
  <c r="O271" i="15" s="1"/>
  <c r="O272" i="15" s="1"/>
  <c r="M270" i="15"/>
  <c r="Q270" i="15" s="1"/>
  <c r="S270" i="15" s="1"/>
  <c r="M269" i="15"/>
  <c r="Q269" i="15" s="1"/>
  <c r="S269" i="15" s="1"/>
  <c r="Q262" i="15"/>
  <c r="S262" i="15" s="1"/>
  <c r="S261" i="15"/>
  <c r="Q261" i="15"/>
  <c r="Q260" i="15"/>
  <c r="S260" i="15" s="1"/>
  <c r="S259" i="15"/>
  <c r="Q259" i="15"/>
  <c r="Q257" i="15"/>
  <c r="S257" i="15" s="1"/>
  <c r="S256" i="15"/>
  <c r="Q256" i="15"/>
  <c r="S255" i="15"/>
  <c r="Q255" i="15"/>
  <c r="N255" i="15"/>
  <c r="N256" i="15" s="1"/>
  <c r="N257" i="15" s="1"/>
  <c r="S254" i="15"/>
  <c r="Q254" i="15"/>
  <c r="K252" i="15"/>
  <c r="J252" i="15"/>
  <c r="J257" i="15" s="1"/>
  <c r="J262" i="15" s="1"/>
  <c r="J267" i="15" s="1"/>
  <c r="K251" i="15"/>
  <c r="K256" i="15" s="1"/>
  <c r="J251" i="15"/>
  <c r="J256" i="15" s="1"/>
  <c r="J261" i="15" s="1"/>
  <c r="J266" i="15" s="1"/>
  <c r="K250" i="15"/>
  <c r="K255" i="15" s="1"/>
  <c r="J250" i="15"/>
  <c r="J255" i="15" s="1"/>
  <c r="J260" i="15" s="1"/>
  <c r="J265" i="15" s="1"/>
  <c r="M249" i="15"/>
  <c r="K249" i="15"/>
  <c r="K254" i="15" s="1"/>
  <c r="J249" i="15"/>
  <c r="J254" i="15" s="1"/>
  <c r="J259" i="15" s="1"/>
  <c r="J264" i="15" s="1"/>
  <c r="M247" i="15"/>
  <c r="M246" i="15"/>
  <c r="I246" i="15"/>
  <c r="I247" i="15" s="1"/>
  <c r="M245" i="15"/>
  <c r="I245" i="15"/>
  <c r="O245" i="15" s="1"/>
  <c r="Q245" i="15" s="1"/>
  <c r="S245" i="15" s="1"/>
  <c r="O244" i="15"/>
  <c r="Q244" i="15" s="1"/>
  <c r="S244" i="15" s="1"/>
  <c r="M244" i="15"/>
  <c r="O242" i="15"/>
  <c r="J242" i="15"/>
  <c r="M242" i="15" s="1"/>
  <c r="Q242" i="15" s="1"/>
  <c r="S242" i="15" s="1"/>
  <c r="O240" i="15"/>
  <c r="M240" i="15"/>
  <c r="Q240" i="15" s="1"/>
  <c r="S240" i="15" s="1"/>
  <c r="Q239" i="15"/>
  <c r="S239" i="15" s="1"/>
  <c r="K235" i="15"/>
  <c r="K236" i="15" s="1"/>
  <c r="M236" i="15" s="1"/>
  <c r="Q236" i="15" s="1"/>
  <c r="S236" i="15" s="1"/>
  <c r="J235" i="15"/>
  <c r="J236" i="15" s="1"/>
  <c r="I235" i="15"/>
  <c r="I236" i="15" s="1"/>
  <c r="M234" i="15"/>
  <c r="Q234" i="15" s="1"/>
  <c r="S234" i="15" s="1"/>
  <c r="Q233" i="15"/>
  <c r="S233" i="15" s="1"/>
  <c r="Q231" i="15"/>
  <c r="S231" i="15" s="1"/>
  <c r="S230" i="15"/>
  <c r="Q230" i="15"/>
  <c r="Q229" i="15"/>
  <c r="S229" i="15" s="1"/>
  <c r="K227" i="15"/>
  <c r="K228" i="15" s="1"/>
  <c r="J227" i="15"/>
  <c r="M227" i="15" s="1"/>
  <c r="Q227" i="15" s="1"/>
  <c r="S227" i="15" s="1"/>
  <c r="I227" i="15"/>
  <c r="O227" i="15" s="1"/>
  <c r="Q226" i="15"/>
  <c r="S226" i="15" s="1"/>
  <c r="O226" i="15"/>
  <c r="M226" i="15"/>
  <c r="S224" i="15"/>
  <c r="Q224" i="15"/>
  <c r="Q223" i="15"/>
  <c r="S223" i="15" s="1"/>
  <c r="S222" i="15"/>
  <c r="Q222" i="15"/>
  <c r="Q221" i="15"/>
  <c r="S221" i="15" s="1"/>
  <c r="M221" i="15"/>
  <c r="J221" i="15"/>
  <c r="J222" i="15" s="1"/>
  <c r="J223" i="15" s="1"/>
  <c r="J224" i="15" s="1"/>
  <c r="O220" i="15"/>
  <c r="M220" i="15"/>
  <c r="Q220" i="15" s="1"/>
  <c r="S220" i="15" s="1"/>
  <c r="J220" i="15"/>
  <c r="O219" i="15"/>
  <c r="M219" i="15"/>
  <c r="Q219" i="15" s="1"/>
  <c r="S219" i="15" s="1"/>
  <c r="O217" i="15"/>
  <c r="M217" i="15"/>
  <c r="Q217" i="15" s="1"/>
  <c r="S217" i="15" s="1"/>
  <c r="Q216" i="15"/>
  <c r="S216" i="15" s="1"/>
  <c r="M216" i="15"/>
  <c r="M215" i="15"/>
  <c r="Q215" i="15" s="1"/>
  <c r="S215" i="15" s="1"/>
  <c r="Q214" i="15"/>
  <c r="S214" i="15" s="1"/>
  <c r="M214" i="15"/>
  <c r="Q212" i="15"/>
  <c r="S212" i="15" s="1"/>
  <c r="M212" i="15"/>
  <c r="M211" i="15"/>
  <c r="Q211" i="15" s="1"/>
  <c r="S211" i="15" s="1"/>
  <c r="Q210" i="15"/>
  <c r="S210" i="15" s="1"/>
  <c r="M210" i="15"/>
  <c r="M209" i="15"/>
  <c r="Q209" i="15" s="1"/>
  <c r="S209" i="15" s="1"/>
  <c r="O207" i="15"/>
  <c r="M207" i="15"/>
  <c r="Q207" i="15" s="1"/>
  <c r="S207" i="15" s="1"/>
  <c r="S206" i="15"/>
  <c r="Q206" i="15"/>
  <c r="Q204" i="15"/>
  <c r="S204" i="15" s="1"/>
  <c r="M202" i="15"/>
  <c r="Q202" i="15" s="1"/>
  <c r="S202" i="15" s="1"/>
  <c r="Q201" i="15"/>
  <c r="S201" i="15" s="1"/>
  <c r="M201" i="15"/>
  <c r="Q199" i="15"/>
  <c r="S199" i="15" s="1"/>
  <c r="Q198" i="15"/>
  <c r="S198" i="15" s="1"/>
  <c r="Q197" i="15"/>
  <c r="S197" i="15" s="1"/>
  <c r="S195" i="15"/>
  <c r="Q195" i="15"/>
  <c r="S194" i="15"/>
  <c r="Q194" i="15"/>
  <c r="S193" i="15"/>
  <c r="Q193" i="15"/>
  <c r="S192" i="15"/>
  <c r="Q192" i="15"/>
  <c r="M191" i="15"/>
  <c r="Q191" i="15" s="1"/>
  <c r="S191" i="15" s="1"/>
  <c r="O189" i="15"/>
  <c r="M189" i="15"/>
  <c r="Q189" i="15" s="1"/>
  <c r="S189" i="15" s="1"/>
  <c r="S188" i="15"/>
  <c r="Q188" i="15"/>
  <c r="Q186" i="15"/>
  <c r="S186" i="15" s="1"/>
  <c r="S184" i="15"/>
  <c r="Q184" i="15"/>
  <c r="M183" i="15"/>
  <c r="Q183" i="15" s="1"/>
  <c r="S183" i="15" s="1"/>
  <c r="S181" i="15"/>
  <c r="Q181" i="15"/>
  <c r="S180" i="15"/>
  <c r="Q180" i="15"/>
  <c r="M179" i="15"/>
  <c r="Q179" i="15" s="1"/>
  <c r="S179" i="15" s="1"/>
  <c r="Q176" i="15"/>
  <c r="S176" i="15" s="1"/>
  <c r="M176" i="15"/>
  <c r="M175" i="15"/>
  <c r="Q175" i="15" s="1"/>
  <c r="S175" i="15" s="1"/>
  <c r="Q174" i="15"/>
  <c r="S174" i="15" s="1"/>
  <c r="M174" i="15"/>
  <c r="M173" i="15"/>
  <c r="Q173" i="15" s="1"/>
  <c r="S173" i="15" s="1"/>
  <c r="M171" i="15"/>
  <c r="Q171" i="15" s="1"/>
  <c r="S171" i="15" s="1"/>
  <c r="Q170" i="15"/>
  <c r="S170" i="15" s="1"/>
  <c r="M170" i="15"/>
  <c r="Q168" i="15"/>
  <c r="S168" i="15" s="1"/>
  <c r="M168" i="15"/>
  <c r="M167" i="15"/>
  <c r="Q167" i="15" s="1"/>
  <c r="S167" i="15" s="1"/>
  <c r="Q166" i="15"/>
  <c r="S166" i="15" s="1"/>
  <c r="M166" i="15"/>
  <c r="S165" i="15"/>
  <c r="Q165" i="15"/>
  <c r="Q163" i="15"/>
  <c r="S163" i="15" s="1"/>
  <c r="M163" i="15"/>
  <c r="M162" i="15"/>
  <c r="Q162" i="15" s="1"/>
  <c r="S162" i="15" s="1"/>
  <c r="Q161" i="15"/>
  <c r="S161" i="15" s="1"/>
  <c r="M161" i="15"/>
  <c r="S160" i="15"/>
  <c r="Q160" i="15"/>
  <c r="Q158" i="15"/>
  <c r="S158" i="15" s="1"/>
  <c r="M158" i="15"/>
  <c r="M157" i="15"/>
  <c r="Q157" i="15" s="1"/>
  <c r="S157" i="15" s="1"/>
  <c r="Q156" i="15"/>
  <c r="S156" i="15" s="1"/>
  <c r="M156" i="15"/>
  <c r="M155" i="15"/>
  <c r="Q155" i="15" s="1"/>
  <c r="S155" i="15" s="1"/>
  <c r="Q154" i="15"/>
  <c r="S154" i="15" s="1"/>
  <c r="M154" i="15"/>
  <c r="M153" i="15"/>
  <c r="Q153" i="15" s="1"/>
  <c r="S153" i="15" s="1"/>
  <c r="Q152" i="15"/>
  <c r="S152" i="15" s="1"/>
  <c r="M152" i="15"/>
  <c r="M151" i="15"/>
  <c r="Q151" i="15" s="1"/>
  <c r="S151" i="15" s="1"/>
  <c r="Q150" i="15"/>
  <c r="S150" i="15" s="1"/>
  <c r="M150" i="15"/>
  <c r="M149" i="15"/>
  <c r="Q149" i="15" s="1"/>
  <c r="S149" i="15" s="1"/>
  <c r="Q148" i="15"/>
  <c r="S148" i="15" s="1"/>
  <c r="M148" i="15"/>
  <c r="M147" i="15"/>
  <c r="Q147" i="15" s="1"/>
  <c r="S147" i="15" s="1"/>
  <c r="Q146" i="15"/>
  <c r="S146" i="15" s="1"/>
  <c r="Q145" i="15"/>
  <c r="S145" i="15" s="1"/>
  <c r="O143" i="15"/>
  <c r="Q143" i="15" s="1"/>
  <c r="S143" i="15" s="1"/>
  <c r="Q142" i="15"/>
  <c r="S142" i="15" s="1"/>
  <c r="Q141" i="15"/>
  <c r="S141" i="15" s="1"/>
  <c r="O141" i="15"/>
  <c r="S140" i="15"/>
  <c r="Q140" i="15"/>
  <c r="O138" i="15"/>
  <c r="M137" i="15"/>
  <c r="Q137" i="15" s="1"/>
  <c r="S137" i="15" s="1"/>
  <c r="K137" i="15"/>
  <c r="J137" i="15"/>
  <c r="I137" i="15"/>
  <c r="O137" i="15" s="1"/>
  <c r="M136" i="15"/>
  <c r="Q136" i="15" s="1"/>
  <c r="S136" i="15" s="1"/>
  <c r="K136" i="15"/>
  <c r="J136" i="15"/>
  <c r="M135" i="15"/>
  <c r="M138" i="15" s="1"/>
  <c r="Q138" i="15" s="1"/>
  <c r="S138" i="15" s="1"/>
  <c r="K135" i="15"/>
  <c r="J135" i="15"/>
  <c r="I135" i="15"/>
  <c r="M133" i="15"/>
  <c r="Q133" i="15" s="1"/>
  <c r="S133" i="15" s="1"/>
  <c r="M132" i="15"/>
  <c r="Q132" i="15" s="1"/>
  <c r="S132" i="15" s="1"/>
  <c r="I132" i="15"/>
  <c r="I136" i="15" s="1"/>
  <c r="S131" i="15"/>
  <c r="M131" i="15"/>
  <c r="Q131" i="15" s="1"/>
  <c r="Q130" i="15"/>
  <c r="S130" i="15" s="1"/>
  <c r="Q127" i="15"/>
  <c r="S127" i="15" s="1"/>
  <c r="Q126" i="15"/>
  <c r="S126" i="15" s="1"/>
  <c r="M126" i="15"/>
  <c r="M125" i="15"/>
  <c r="Q125" i="15" s="1"/>
  <c r="S125" i="15" s="1"/>
  <c r="S123" i="15"/>
  <c r="Q123" i="15"/>
  <c r="S122" i="15"/>
  <c r="Q122" i="15"/>
  <c r="S121" i="15"/>
  <c r="Q121" i="15"/>
  <c r="S119" i="15"/>
  <c r="Q119" i="15"/>
  <c r="Q118" i="15"/>
  <c r="S118" i="15" s="1"/>
  <c r="S117" i="15"/>
  <c r="Q117" i="15"/>
  <c r="I117" i="15"/>
  <c r="S115" i="15"/>
  <c r="Q115" i="15"/>
  <c r="S114" i="15"/>
  <c r="Q114" i="15"/>
  <c r="O113" i="15"/>
  <c r="M113" i="15"/>
  <c r="Q113" i="15" s="1"/>
  <c r="S113" i="15" s="1"/>
  <c r="S111" i="15"/>
  <c r="Q111" i="15"/>
  <c r="S110" i="15"/>
  <c r="Q110" i="15"/>
  <c r="I110" i="15"/>
  <c r="I122" i="15" s="1"/>
  <c r="Q109" i="15"/>
  <c r="S109" i="15" s="1"/>
  <c r="I109" i="15"/>
  <c r="I121" i="15" s="1"/>
  <c r="Q107" i="15"/>
  <c r="S107" i="15" s="1"/>
  <c r="S106" i="15"/>
  <c r="Q106" i="15"/>
  <c r="K106" i="15"/>
  <c r="K107" i="15" s="1"/>
  <c r="I106" i="15"/>
  <c r="I118" i="15" s="1"/>
  <c r="S105" i="15"/>
  <c r="Q105" i="15"/>
  <c r="K105" i="15"/>
  <c r="I105" i="15"/>
  <c r="K102" i="15"/>
  <c r="K103" i="15" s="1"/>
  <c r="M103" i="15" s="1"/>
  <c r="Q103" i="15" s="1"/>
  <c r="S103" i="15" s="1"/>
  <c r="I102" i="15"/>
  <c r="I114" i="15" s="1"/>
  <c r="K101" i="15"/>
  <c r="M101" i="15" s="1"/>
  <c r="Q101" i="15" s="1"/>
  <c r="S101" i="15" s="1"/>
  <c r="I101" i="15"/>
  <c r="M99" i="15"/>
  <c r="Q99" i="15" s="1"/>
  <c r="S99" i="15" s="1"/>
  <c r="K99" i="15"/>
  <c r="M98" i="15"/>
  <c r="Q98" i="15" s="1"/>
  <c r="S98" i="15" s="1"/>
  <c r="M97" i="15"/>
  <c r="Q97" i="15" s="1"/>
  <c r="S97" i="15" s="1"/>
  <c r="Q95" i="15"/>
  <c r="S95" i="15" s="1"/>
  <c r="M94" i="15"/>
  <c r="Q94" i="15" s="1"/>
  <c r="S94" i="15" s="1"/>
  <c r="M93" i="15"/>
  <c r="Q93" i="15" s="1"/>
  <c r="S93" i="15" s="1"/>
  <c r="Q91" i="15"/>
  <c r="S91" i="15" s="1"/>
  <c r="Q90" i="15"/>
  <c r="S90" i="15" s="1"/>
  <c r="Q89" i="15"/>
  <c r="S89" i="15" s="1"/>
  <c r="Q87" i="15"/>
  <c r="S87" i="15" s="1"/>
  <c r="Q86" i="15"/>
  <c r="S86" i="15" s="1"/>
  <c r="S85" i="15"/>
  <c r="Q85" i="15"/>
  <c r="S83" i="15"/>
  <c r="Q83" i="15"/>
  <c r="S82" i="15"/>
  <c r="Q82" i="15"/>
  <c r="O81" i="15"/>
  <c r="M81" i="15"/>
  <c r="Q81" i="15" s="1"/>
  <c r="S81" i="15" s="1"/>
  <c r="Q79" i="15"/>
  <c r="S79" i="15" s="1"/>
  <c r="Q78" i="15"/>
  <c r="S78" i="15" s="1"/>
  <c r="I78" i="15"/>
  <c r="I90" i="15" s="1"/>
  <c r="Q77" i="15"/>
  <c r="S77" i="15" s="1"/>
  <c r="I77" i="15"/>
  <c r="I89" i="15" s="1"/>
  <c r="Q75" i="15"/>
  <c r="S75" i="15" s="1"/>
  <c r="S74" i="15"/>
  <c r="Q74" i="15"/>
  <c r="K74" i="15"/>
  <c r="K75" i="15" s="1"/>
  <c r="I74" i="15"/>
  <c r="I86" i="15" s="1"/>
  <c r="Q73" i="15"/>
  <c r="S73" i="15" s="1"/>
  <c r="K73" i="15"/>
  <c r="I73" i="15"/>
  <c r="I85" i="15" s="1"/>
  <c r="K70" i="15"/>
  <c r="K71" i="15" s="1"/>
  <c r="M71" i="15" s="1"/>
  <c r="Q71" i="15" s="1"/>
  <c r="S71" i="15" s="1"/>
  <c r="I70" i="15"/>
  <c r="I82" i="15" s="1"/>
  <c r="K69" i="15"/>
  <c r="M69" i="15" s="1"/>
  <c r="Q69" i="15" s="1"/>
  <c r="S69" i="15" s="1"/>
  <c r="I69" i="15"/>
  <c r="M67" i="15"/>
  <c r="Q67" i="15" s="1"/>
  <c r="S67" i="15" s="1"/>
  <c r="K67" i="15"/>
  <c r="S66" i="15"/>
  <c r="Q66" i="15"/>
  <c r="M66" i="15"/>
  <c r="M65" i="15"/>
  <c r="Q65" i="15" s="1"/>
  <c r="S65" i="15" s="1"/>
  <c r="S62" i="15"/>
  <c r="Q62" i="15"/>
  <c r="O62" i="15"/>
  <c r="O61" i="15"/>
  <c r="M61" i="15"/>
  <c r="Q61" i="15" s="1"/>
  <c r="S61" i="15" s="1"/>
  <c r="J61" i="15"/>
  <c r="I61" i="15"/>
  <c r="S60" i="15"/>
  <c r="Q60" i="15"/>
  <c r="I60" i="15"/>
  <c r="Q59" i="15"/>
  <c r="S59" i="15" s="1"/>
  <c r="I59" i="15"/>
  <c r="O58" i="15"/>
  <c r="J58" i="15"/>
  <c r="M58" i="15" s="1"/>
  <c r="Q58" i="15" s="1"/>
  <c r="S58" i="15" s="1"/>
  <c r="I58" i="15"/>
  <c r="O57" i="15"/>
  <c r="I57" i="15"/>
  <c r="M57" i="15" s="1"/>
  <c r="Q57" i="15" s="1"/>
  <c r="S57" i="15" s="1"/>
  <c r="S55" i="15"/>
  <c r="Q55" i="15"/>
  <c r="I55" i="15"/>
  <c r="S54" i="15"/>
  <c r="Q54" i="15"/>
  <c r="O51" i="15"/>
  <c r="M51" i="15"/>
  <c r="Q51" i="15" s="1"/>
  <c r="S51" i="15" s="1"/>
  <c r="J51" i="15"/>
  <c r="I51" i="15"/>
  <c r="Q50" i="15"/>
  <c r="S50" i="15" s="1"/>
  <c r="I50" i="15"/>
  <c r="Q49" i="15"/>
  <c r="S49" i="15" s="1"/>
  <c r="I49" i="15"/>
  <c r="O48" i="15"/>
  <c r="J48" i="15"/>
  <c r="M48" i="15" s="1"/>
  <c r="Q48" i="15" s="1"/>
  <c r="S48" i="15" s="1"/>
  <c r="I48" i="15"/>
  <c r="O47" i="15"/>
  <c r="I47" i="15"/>
  <c r="M47" i="15" s="1"/>
  <c r="Q47" i="15" s="1"/>
  <c r="S47" i="15" s="1"/>
  <c r="Q45" i="15"/>
  <c r="S45" i="15" s="1"/>
  <c r="I45" i="15"/>
  <c r="Q44" i="15"/>
  <c r="S44" i="15" s="1"/>
  <c r="O41" i="15"/>
  <c r="O40" i="15"/>
  <c r="M40" i="15"/>
  <c r="Q40" i="15" s="1"/>
  <c r="S40" i="15" s="1"/>
  <c r="J40" i="15"/>
  <c r="J41" i="15" s="1"/>
  <c r="M41" i="15" s="1"/>
  <c r="Q41" i="15" s="1"/>
  <c r="S41" i="15" s="1"/>
  <c r="O39" i="15"/>
  <c r="M39" i="15"/>
  <c r="Q39" i="15" s="1"/>
  <c r="S39" i="15" s="1"/>
  <c r="Q38" i="15"/>
  <c r="S38" i="15" s="1"/>
  <c r="S37" i="15"/>
  <c r="Q37" i="15"/>
  <c r="S36" i="15"/>
  <c r="Q36" i="15"/>
  <c r="Q35" i="15"/>
  <c r="S35" i="15" s="1"/>
  <c r="Q34" i="15"/>
  <c r="S34" i="15" s="1"/>
  <c r="S33" i="15"/>
  <c r="Q33" i="15"/>
  <c r="S32" i="15"/>
  <c r="Q32" i="15"/>
  <c r="J32" i="15"/>
  <c r="J33" i="15" s="1"/>
  <c r="J34" i="15" s="1"/>
  <c r="J35" i="15" s="1"/>
  <c r="J36" i="15" s="1"/>
  <c r="J37" i="15" s="1"/>
  <c r="J38" i="15" s="1"/>
  <c r="Q31" i="15"/>
  <c r="S31" i="15" s="1"/>
  <c r="O30" i="15"/>
  <c r="M30" i="15"/>
  <c r="Q30" i="15" s="1"/>
  <c r="S30" i="15" s="1"/>
  <c r="J30" i="15"/>
  <c r="S29" i="15"/>
  <c r="S28" i="15"/>
  <c r="Q28" i="15"/>
  <c r="O28" i="15"/>
  <c r="M28" i="15"/>
  <c r="Q27" i="15"/>
  <c r="S27" i="15" s="1"/>
  <c r="D3" i="15"/>
  <c r="F238" i="15" s="1"/>
  <c r="D2" i="15"/>
  <c r="C2" i="15"/>
  <c r="C1" i="15"/>
  <c r="Q1288" i="20"/>
  <c r="S1288" i="20" s="1"/>
  <c r="U1288" i="20" s="1"/>
  <c r="Q1287" i="20"/>
  <c r="S1287" i="20" s="1"/>
  <c r="U1287" i="20" s="1"/>
  <c r="S1286" i="20"/>
  <c r="U1286" i="20" s="1"/>
  <c r="Q1286" i="20"/>
  <c r="Q1284" i="20"/>
  <c r="S1284" i="20" s="1"/>
  <c r="U1284" i="20" s="1"/>
  <c r="S1282" i="20"/>
  <c r="U1282" i="20" s="1"/>
  <c r="Q1282" i="20"/>
  <c r="Q1281" i="20"/>
  <c r="S1281" i="20" s="1"/>
  <c r="U1281" i="20" s="1"/>
  <c r="S1280" i="20"/>
  <c r="U1280" i="20" s="1"/>
  <c r="Q1280" i="20"/>
  <c r="Q1279" i="20"/>
  <c r="S1279" i="20" s="1"/>
  <c r="U1279" i="20" s="1"/>
  <c r="S1278" i="20"/>
  <c r="U1278" i="20" s="1"/>
  <c r="Q1278" i="20"/>
  <c r="Q1276" i="20"/>
  <c r="S1276" i="20" s="1"/>
  <c r="U1276" i="20" s="1"/>
  <c r="S1275" i="20"/>
  <c r="U1275" i="20" s="1"/>
  <c r="Q1275" i="20"/>
  <c r="Q1274" i="20"/>
  <c r="S1274" i="20" s="1"/>
  <c r="U1274" i="20" s="1"/>
  <c r="S1273" i="20"/>
  <c r="U1273" i="20" s="1"/>
  <c r="Q1273" i="20"/>
  <c r="Q1272" i="20"/>
  <c r="S1272" i="20" s="1"/>
  <c r="U1272" i="20" s="1"/>
  <c r="S1271" i="20"/>
  <c r="U1271" i="20" s="1"/>
  <c r="Q1271" i="20"/>
  <c r="S1269" i="20"/>
  <c r="U1269" i="20" s="1"/>
  <c r="Q1269" i="20"/>
  <c r="S1268" i="20"/>
  <c r="U1268" i="20" s="1"/>
  <c r="Q1268" i="20"/>
  <c r="J1268" i="20"/>
  <c r="J1269" i="20" s="1"/>
  <c r="S1267" i="20"/>
  <c r="U1267" i="20" s="1"/>
  <c r="Q1267" i="20"/>
  <c r="S1264" i="20"/>
  <c r="U1264" i="20" s="1"/>
  <c r="Q1264" i="20"/>
  <c r="Q1263" i="20"/>
  <c r="S1263" i="20" s="1"/>
  <c r="U1263" i="20" s="1"/>
  <c r="O1263" i="20"/>
  <c r="M1263" i="20"/>
  <c r="S1262" i="20"/>
  <c r="U1262" i="20" s="1"/>
  <c r="Q1262" i="20"/>
  <c r="Q1261" i="20"/>
  <c r="S1261" i="20" s="1"/>
  <c r="U1261" i="20" s="1"/>
  <c r="O1261" i="20"/>
  <c r="M1261" i="20"/>
  <c r="S1259" i="20"/>
  <c r="U1259" i="20" s="1"/>
  <c r="Q1259" i="20"/>
  <c r="O1258" i="20"/>
  <c r="M1258" i="20"/>
  <c r="Q1258" i="20" s="1"/>
  <c r="S1258" i="20" s="1"/>
  <c r="U1258" i="20" s="1"/>
  <c r="S1257" i="20"/>
  <c r="U1257" i="20" s="1"/>
  <c r="Q1257" i="20"/>
  <c r="O1256" i="20"/>
  <c r="M1256" i="20"/>
  <c r="Q1256" i="20" s="1"/>
  <c r="S1256" i="20" s="1"/>
  <c r="U1256" i="20" s="1"/>
  <c r="S1254" i="20"/>
  <c r="U1254" i="20" s="1"/>
  <c r="Q1254" i="20"/>
  <c r="Q1253" i="20"/>
  <c r="S1253" i="20" s="1"/>
  <c r="U1253" i="20" s="1"/>
  <c r="S1252" i="20"/>
  <c r="U1252" i="20" s="1"/>
  <c r="Q1252" i="20"/>
  <c r="Q1250" i="20"/>
  <c r="S1250" i="20" s="1"/>
  <c r="U1250" i="20" s="1"/>
  <c r="O1250" i="20"/>
  <c r="M1250" i="20"/>
  <c r="O1249" i="20"/>
  <c r="M1249" i="20"/>
  <c r="Q1249" i="20" s="1"/>
  <c r="S1249" i="20" s="1"/>
  <c r="U1249" i="20" s="1"/>
  <c r="O1248" i="20"/>
  <c r="M1248" i="20"/>
  <c r="Q1248" i="20" s="1"/>
  <c r="S1248" i="20" s="1"/>
  <c r="U1248" i="20" s="1"/>
  <c r="O1247" i="20"/>
  <c r="Q1247" i="20" s="1"/>
  <c r="S1247" i="20" s="1"/>
  <c r="U1247" i="20" s="1"/>
  <c r="M1247" i="20"/>
  <c r="Q1245" i="20"/>
  <c r="S1245" i="20" s="1"/>
  <c r="U1245" i="20" s="1"/>
  <c r="O1245" i="20"/>
  <c r="Q1244" i="20"/>
  <c r="S1244" i="20" s="1"/>
  <c r="U1244" i="20" s="1"/>
  <c r="S1243" i="20"/>
  <c r="U1243" i="20" s="1"/>
  <c r="Q1243" i="20"/>
  <c r="Q1241" i="20"/>
  <c r="S1241" i="20" s="1"/>
  <c r="U1241" i="20" s="1"/>
  <c r="O1241" i="20"/>
  <c r="M1241" i="20"/>
  <c r="J1241" i="20"/>
  <c r="Q1240" i="20"/>
  <c r="S1240" i="20" s="1"/>
  <c r="U1240" i="20" s="1"/>
  <c r="M1240" i="20"/>
  <c r="Q1239" i="20"/>
  <c r="S1239" i="20" s="1"/>
  <c r="U1239" i="20" s="1"/>
  <c r="O1237" i="20"/>
  <c r="Q1237" i="20" s="1"/>
  <c r="S1237" i="20" s="1"/>
  <c r="U1237" i="20" s="1"/>
  <c r="M1237" i="20"/>
  <c r="J1237" i="20"/>
  <c r="M1236" i="20"/>
  <c r="Q1236" i="20" s="1"/>
  <c r="S1236" i="20" s="1"/>
  <c r="U1236" i="20" s="1"/>
  <c r="O1235" i="20"/>
  <c r="M1235" i="20"/>
  <c r="Q1235" i="20" s="1"/>
  <c r="S1235" i="20" s="1"/>
  <c r="U1235" i="20" s="1"/>
  <c r="Q1233" i="20"/>
  <c r="S1233" i="20" s="1"/>
  <c r="U1233" i="20" s="1"/>
  <c r="S1232" i="20"/>
  <c r="U1232" i="20" s="1"/>
  <c r="Q1232" i="20"/>
  <c r="S1229" i="20"/>
  <c r="U1229" i="20" s="1"/>
  <c r="Q1229" i="20"/>
  <c r="S1228" i="20"/>
  <c r="U1228" i="20" s="1"/>
  <c r="Q1228" i="20"/>
  <c r="S1227" i="20"/>
  <c r="U1227" i="20" s="1"/>
  <c r="Q1227" i="20"/>
  <c r="S1226" i="20"/>
  <c r="U1226" i="20" s="1"/>
  <c r="Q1226" i="20"/>
  <c r="S1225" i="20"/>
  <c r="U1225" i="20" s="1"/>
  <c r="Q1225" i="20"/>
  <c r="S1223" i="20"/>
  <c r="U1223" i="20" s="1"/>
  <c r="Q1223" i="20"/>
  <c r="S1222" i="20"/>
  <c r="U1222" i="20" s="1"/>
  <c r="Q1222" i="20"/>
  <c r="J1222" i="20"/>
  <c r="J1223" i="20" s="1"/>
  <c r="O1221" i="20"/>
  <c r="Q1221" i="20" s="1"/>
  <c r="S1221" i="20" s="1"/>
  <c r="U1221" i="20" s="1"/>
  <c r="M1221" i="20"/>
  <c r="Q1220" i="20"/>
  <c r="S1220" i="20" s="1"/>
  <c r="U1220" i="20" s="1"/>
  <c r="O1219" i="20"/>
  <c r="I1217" i="20"/>
  <c r="O1217" i="20" s="1"/>
  <c r="O1215" i="20"/>
  <c r="S1212" i="20"/>
  <c r="U1212" i="20" s="1"/>
  <c r="Q1212" i="20"/>
  <c r="J1212" i="20"/>
  <c r="S1210" i="20"/>
  <c r="U1210" i="20" s="1"/>
  <c r="Q1210" i="20"/>
  <c r="J1210" i="20"/>
  <c r="J1213" i="20" s="1"/>
  <c r="Q1209" i="20"/>
  <c r="S1209" i="20" s="1"/>
  <c r="U1209" i="20" s="1"/>
  <c r="J1209" i="20"/>
  <c r="I1209" i="20"/>
  <c r="M1207" i="20"/>
  <c r="I1207" i="20"/>
  <c r="I1210" i="20" s="1"/>
  <c r="O1206" i="20"/>
  <c r="M1206" i="20"/>
  <c r="Q1206" i="20" s="1"/>
  <c r="S1206" i="20" s="1"/>
  <c r="U1206" i="20" s="1"/>
  <c r="S1205" i="20"/>
  <c r="U1205" i="20" s="1"/>
  <c r="Q1205" i="20"/>
  <c r="O1204" i="20"/>
  <c r="M1204" i="20"/>
  <c r="Q1204" i="20" s="1"/>
  <c r="S1204" i="20" s="1"/>
  <c r="U1204" i="20" s="1"/>
  <c r="S1203" i="20"/>
  <c r="U1203" i="20" s="1"/>
  <c r="Q1203" i="20"/>
  <c r="F1202" i="20"/>
  <c r="Q1200" i="20"/>
  <c r="S1200" i="20" s="1"/>
  <c r="U1200" i="20" s="1"/>
  <c r="Q1199" i="20"/>
  <c r="S1199" i="20" s="1"/>
  <c r="U1199" i="20" s="1"/>
  <c r="O1199" i="20"/>
  <c r="O1197" i="20"/>
  <c r="O1196" i="20"/>
  <c r="S1195" i="20"/>
  <c r="U1195" i="20" s="1"/>
  <c r="Q1195" i="20"/>
  <c r="O1194" i="20"/>
  <c r="J1194" i="20"/>
  <c r="M1194" i="20" s="1"/>
  <c r="Q1194" i="20" s="1"/>
  <c r="S1194" i="20" s="1"/>
  <c r="U1194" i="20" s="1"/>
  <c r="O1193" i="20"/>
  <c r="M1193" i="20"/>
  <c r="Q1193" i="20" s="1"/>
  <c r="S1193" i="20" s="1"/>
  <c r="U1193" i="20" s="1"/>
  <c r="U1192" i="20"/>
  <c r="S1192" i="20"/>
  <c r="Q1192" i="20"/>
  <c r="U1190" i="20"/>
  <c r="S1190" i="20"/>
  <c r="Q1190" i="20"/>
  <c r="Q1189" i="20"/>
  <c r="S1189" i="20" s="1"/>
  <c r="U1189" i="20" s="1"/>
  <c r="J1189" i="20"/>
  <c r="Q1187" i="20"/>
  <c r="S1187" i="20" s="1"/>
  <c r="U1187" i="20" s="1"/>
  <c r="O1187" i="20"/>
  <c r="J1187" i="20"/>
  <c r="J1190" i="20" s="1"/>
  <c r="O1186" i="20"/>
  <c r="Q1186" i="20" s="1"/>
  <c r="S1186" i="20" s="1"/>
  <c r="U1186" i="20" s="1"/>
  <c r="Q1184" i="20"/>
  <c r="S1184" i="20" s="1"/>
  <c r="U1184" i="20" s="1"/>
  <c r="Q1183" i="20"/>
  <c r="S1183" i="20" s="1"/>
  <c r="U1183" i="20" s="1"/>
  <c r="Q1181" i="20"/>
  <c r="S1181" i="20" s="1"/>
  <c r="U1181" i="20" s="1"/>
  <c r="Q1180" i="20"/>
  <c r="S1180" i="20" s="1"/>
  <c r="U1180" i="20" s="1"/>
  <c r="Q1178" i="20"/>
  <c r="S1178" i="20" s="1"/>
  <c r="U1178" i="20" s="1"/>
  <c r="S1177" i="20"/>
  <c r="U1177" i="20" s="1"/>
  <c r="Q1177" i="20"/>
  <c r="S1175" i="20"/>
  <c r="U1175" i="20" s="1"/>
  <c r="Q1175" i="20"/>
  <c r="L1175" i="20"/>
  <c r="K1175" i="20"/>
  <c r="I1175" i="20"/>
  <c r="O1173" i="20"/>
  <c r="O1172" i="20"/>
  <c r="O1171" i="20"/>
  <c r="O1170" i="20"/>
  <c r="Q1169" i="20"/>
  <c r="S1169" i="20" s="1"/>
  <c r="U1169" i="20" s="1"/>
  <c r="O1165" i="20"/>
  <c r="O1164" i="20"/>
  <c r="Q1163" i="20"/>
  <c r="O1162" i="20"/>
  <c r="O1161" i="20"/>
  <c r="O1160" i="20"/>
  <c r="O1159" i="20"/>
  <c r="S1158" i="20"/>
  <c r="U1158" i="20" s="1"/>
  <c r="Q1158" i="20"/>
  <c r="O1155" i="20"/>
  <c r="O1154" i="20"/>
  <c r="U1152" i="20"/>
  <c r="S1152" i="20"/>
  <c r="Q1152" i="20"/>
  <c r="M1152" i="20"/>
  <c r="L1152" i="20"/>
  <c r="K1152" i="20"/>
  <c r="I1152" i="20"/>
  <c r="U1150" i="20"/>
  <c r="S1150" i="20"/>
  <c r="Q1150" i="20"/>
  <c r="O1149" i="20"/>
  <c r="O1148" i="20"/>
  <c r="O1147" i="20"/>
  <c r="O1146" i="20"/>
  <c r="Q1145" i="20"/>
  <c r="S1145" i="20" s="1"/>
  <c r="U1145" i="20" s="1"/>
  <c r="S1140" i="20"/>
  <c r="U1140" i="20" s="1"/>
  <c r="Q1140" i="20"/>
  <c r="I1139" i="20"/>
  <c r="O1139" i="20" s="1"/>
  <c r="J1138" i="20"/>
  <c r="J1139" i="20" s="1"/>
  <c r="I1138" i="20"/>
  <c r="O1138" i="20" s="1"/>
  <c r="U1137" i="20"/>
  <c r="S1137" i="20"/>
  <c r="Q1137" i="20"/>
  <c r="I1137" i="20"/>
  <c r="O1135" i="20"/>
  <c r="O1134" i="20"/>
  <c r="O1133" i="20"/>
  <c r="O1132" i="20"/>
  <c r="M1132" i="20"/>
  <c r="Q1132" i="20" s="1"/>
  <c r="S1132" i="20" s="1"/>
  <c r="U1132" i="20" s="1"/>
  <c r="J1132" i="20"/>
  <c r="J1133" i="20" s="1"/>
  <c r="O1131" i="20"/>
  <c r="M1131" i="20"/>
  <c r="Q1131" i="20" s="1"/>
  <c r="S1131" i="20" s="1"/>
  <c r="U1131" i="20" s="1"/>
  <c r="S1130" i="20"/>
  <c r="U1130" i="20" s="1"/>
  <c r="Q1130" i="20"/>
  <c r="O1130" i="20"/>
  <c r="M1130" i="20"/>
  <c r="Q1129" i="20"/>
  <c r="S1129" i="20" s="1"/>
  <c r="U1129" i="20" s="1"/>
  <c r="Q1127" i="20"/>
  <c r="S1127" i="20" s="1"/>
  <c r="U1127" i="20" s="1"/>
  <c r="Q1126" i="20"/>
  <c r="S1126" i="20" s="1"/>
  <c r="U1126" i="20" s="1"/>
  <c r="O1124" i="20"/>
  <c r="M1124" i="20"/>
  <c r="Q1124" i="20" s="1"/>
  <c r="S1124" i="20" s="1"/>
  <c r="U1124" i="20" s="1"/>
  <c r="U1123" i="20"/>
  <c r="S1123" i="20"/>
  <c r="Q1123" i="20"/>
  <c r="Q1122" i="20"/>
  <c r="S1122" i="20" s="1"/>
  <c r="U1122" i="20" s="1"/>
  <c r="O1120" i="20"/>
  <c r="M1120" i="20"/>
  <c r="Q1120" i="20" s="1"/>
  <c r="S1120" i="20" s="1"/>
  <c r="U1120" i="20" s="1"/>
  <c r="S1119" i="20"/>
  <c r="U1119" i="20" s="1"/>
  <c r="Q1119" i="20"/>
  <c r="O1119" i="20"/>
  <c r="M1119" i="20"/>
  <c r="U1117" i="20"/>
  <c r="S1117" i="20"/>
  <c r="Q1117" i="20"/>
  <c r="M1116" i="20"/>
  <c r="Q1116" i="20" s="1"/>
  <c r="S1116" i="20" s="1"/>
  <c r="U1116" i="20" s="1"/>
  <c r="M1114" i="20"/>
  <c r="Q1114" i="20" s="1"/>
  <c r="S1114" i="20" s="1"/>
  <c r="U1114" i="20" s="1"/>
  <c r="S1113" i="20"/>
  <c r="U1113" i="20" s="1"/>
  <c r="Q1113" i="20"/>
  <c r="O1113" i="20"/>
  <c r="M1113" i="20"/>
  <c r="Q1112" i="20"/>
  <c r="S1112" i="20" s="1"/>
  <c r="U1112" i="20" s="1"/>
  <c r="O1112" i="20"/>
  <c r="U1111" i="20"/>
  <c r="O1111" i="20"/>
  <c r="M1111" i="20"/>
  <c r="Q1111" i="20" s="1"/>
  <c r="S1111" i="20" s="1"/>
  <c r="S1110" i="20"/>
  <c r="U1110" i="20" s="1"/>
  <c r="Q1110" i="20"/>
  <c r="O1110" i="20"/>
  <c r="M1110" i="20"/>
  <c r="Q1109" i="20"/>
  <c r="S1109" i="20" s="1"/>
  <c r="U1109" i="20" s="1"/>
  <c r="S1108" i="20"/>
  <c r="U1108" i="20" s="1"/>
  <c r="Q1108" i="20"/>
  <c r="O1108" i="20"/>
  <c r="M1108" i="20"/>
  <c r="Q1107" i="20"/>
  <c r="S1107" i="20" s="1"/>
  <c r="U1107" i="20" s="1"/>
  <c r="O1107" i="20"/>
  <c r="M1107" i="20"/>
  <c r="U1106" i="20"/>
  <c r="S1106" i="20"/>
  <c r="Q1106" i="20"/>
  <c r="U1104" i="20"/>
  <c r="S1104" i="20"/>
  <c r="Q1104" i="20"/>
  <c r="U1103" i="20"/>
  <c r="S1103" i="20"/>
  <c r="Q1103" i="20"/>
  <c r="L1101" i="20"/>
  <c r="K1101" i="20"/>
  <c r="J1101" i="20"/>
  <c r="I1101" i="20"/>
  <c r="O1100" i="20"/>
  <c r="M1100" i="20"/>
  <c r="S1099" i="20"/>
  <c r="U1099" i="20" s="1"/>
  <c r="Q1099" i="20"/>
  <c r="O1099" i="20"/>
  <c r="M1099" i="20"/>
  <c r="M1101" i="20" s="1"/>
  <c r="Q1101" i="20" s="1"/>
  <c r="S1101" i="20" s="1"/>
  <c r="U1101" i="20" s="1"/>
  <c r="U1098" i="20"/>
  <c r="S1098" i="20"/>
  <c r="Q1098" i="20"/>
  <c r="O1097" i="20"/>
  <c r="M1097" i="20"/>
  <c r="Q1097" i="20" s="1"/>
  <c r="S1097" i="20" s="1"/>
  <c r="U1097" i="20" s="1"/>
  <c r="S1096" i="20"/>
  <c r="U1096" i="20" s="1"/>
  <c r="Q1096" i="20"/>
  <c r="O1096" i="20"/>
  <c r="M1096" i="20"/>
  <c r="O1095" i="20"/>
  <c r="Q1095" i="20" s="1"/>
  <c r="S1095" i="20" s="1"/>
  <c r="U1095" i="20" s="1"/>
  <c r="Q1094" i="20"/>
  <c r="S1094" i="20" s="1"/>
  <c r="U1094" i="20" s="1"/>
  <c r="O1094" i="20"/>
  <c r="S1093" i="20"/>
  <c r="U1093" i="20" s="1"/>
  <c r="Q1093" i="20"/>
  <c r="Q1092" i="20"/>
  <c r="S1091" i="20"/>
  <c r="U1091" i="20" s="1"/>
  <c r="Q1091" i="20"/>
  <c r="O1091" i="20"/>
  <c r="O1090" i="20"/>
  <c r="Q1090" i="20" s="1"/>
  <c r="S1090" i="20" s="1"/>
  <c r="U1090" i="20" s="1"/>
  <c r="J1088" i="20"/>
  <c r="O1088" i="20" s="1"/>
  <c r="Q1088" i="20" s="1"/>
  <c r="S1088" i="20" s="1"/>
  <c r="U1088" i="20" s="1"/>
  <c r="J1087" i="20"/>
  <c r="O1087" i="20" s="1"/>
  <c r="Q1087" i="20" s="1"/>
  <c r="S1087" i="20" s="1"/>
  <c r="U1087" i="20" s="1"/>
  <c r="O1085" i="20"/>
  <c r="Q1085" i="20" s="1"/>
  <c r="S1085" i="20" s="1"/>
  <c r="U1085" i="20" s="1"/>
  <c r="S1084" i="20"/>
  <c r="U1084" i="20" s="1"/>
  <c r="Q1084" i="20"/>
  <c r="O1084" i="20"/>
  <c r="Q1082" i="20"/>
  <c r="S1082" i="20" s="1"/>
  <c r="U1082" i="20" s="1"/>
  <c r="U1081" i="20"/>
  <c r="S1081" i="20"/>
  <c r="Q1081" i="20"/>
  <c r="U1079" i="20"/>
  <c r="S1079" i="20"/>
  <c r="Q1079" i="20"/>
  <c r="O1077" i="20"/>
  <c r="O1076" i="20"/>
  <c r="O1075" i="20"/>
  <c r="O1074" i="20"/>
  <c r="U1073" i="20"/>
  <c r="S1073" i="20"/>
  <c r="Q1073" i="20"/>
  <c r="I1070" i="20"/>
  <c r="I1069" i="20"/>
  <c r="O1069" i="20" s="1"/>
  <c r="O1068" i="20"/>
  <c r="I1068" i="20"/>
  <c r="O1066" i="20"/>
  <c r="O1065" i="20"/>
  <c r="O1064" i="20"/>
  <c r="O1063" i="20"/>
  <c r="Q1062" i="20"/>
  <c r="S1062" i="20" s="1"/>
  <c r="U1062" i="20" s="1"/>
  <c r="Q1060" i="20"/>
  <c r="S1060" i="20" s="1"/>
  <c r="U1060" i="20" s="1"/>
  <c r="O1059" i="20"/>
  <c r="M1059" i="20"/>
  <c r="Q1059" i="20" s="1"/>
  <c r="S1059" i="20" s="1"/>
  <c r="U1059" i="20" s="1"/>
  <c r="J1059" i="20"/>
  <c r="J1060" i="20" s="1"/>
  <c r="J1062" i="20" s="1"/>
  <c r="J1063" i="20" s="1"/>
  <c r="M1058" i="20"/>
  <c r="I1058" i="20"/>
  <c r="O1058" i="20" s="1"/>
  <c r="Q1056" i="20"/>
  <c r="S1056" i="20" s="1"/>
  <c r="U1056" i="20" s="1"/>
  <c r="Q1054" i="20"/>
  <c r="S1054" i="20" s="1"/>
  <c r="U1054" i="20" s="1"/>
  <c r="O1053" i="20"/>
  <c r="O1052" i="20"/>
  <c r="O1051" i="20"/>
  <c r="O1050" i="20"/>
  <c r="U1049" i="20"/>
  <c r="S1049" i="20"/>
  <c r="Q1049" i="20"/>
  <c r="O1047" i="20"/>
  <c r="O1046" i="20"/>
  <c r="Q1044" i="20"/>
  <c r="S1044" i="20" s="1"/>
  <c r="U1044" i="20" s="1"/>
  <c r="S1041" i="20"/>
  <c r="U1041" i="20" s="1"/>
  <c r="Q1041" i="20"/>
  <c r="I1037" i="20"/>
  <c r="I1038" i="20" s="1"/>
  <c r="J1036" i="20"/>
  <c r="J1037" i="20" s="1"/>
  <c r="I1036" i="20"/>
  <c r="O1036" i="20" s="1"/>
  <c r="O1035" i="20"/>
  <c r="M1035" i="20"/>
  <c r="Q1035" i="20" s="1"/>
  <c r="S1035" i="20" s="1"/>
  <c r="U1035" i="20" s="1"/>
  <c r="S1034" i="20"/>
  <c r="U1034" i="20" s="1"/>
  <c r="Q1034" i="20"/>
  <c r="M1031" i="20"/>
  <c r="Q1031" i="20" s="1"/>
  <c r="S1031" i="20" s="1"/>
  <c r="U1031" i="20" s="1"/>
  <c r="L1031" i="20"/>
  <c r="K1031" i="20"/>
  <c r="J1031" i="20"/>
  <c r="S1030" i="20"/>
  <c r="U1030" i="20" s="1"/>
  <c r="Q1030" i="20"/>
  <c r="O1028" i="20"/>
  <c r="Q1028" i="20" s="1"/>
  <c r="S1028" i="20" s="1"/>
  <c r="U1028" i="20" s="1"/>
  <c r="M1028" i="20"/>
  <c r="Q1027" i="20"/>
  <c r="S1027" i="20" s="1"/>
  <c r="U1027" i="20" s="1"/>
  <c r="S1026" i="20"/>
  <c r="U1026" i="20" s="1"/>
  <c r="Q1026" i="20"/>
  <c r="Q1024" i="20"/>
  <c r="S1024" i="20" s="1"/>
  <c r="U1024" i="20" s="1"/>
  <c r="O1023" i="20"/>
  <c r="M1023" i="20"/>
  <c r="Q1023" i="20" s="1"/>
  <c r="S1023" i="20" s="1"/>
  <c r="U1023" i="20" s="1"/>
  <c r="Q1022" i="20"/>
  <c r="S1022" i="20" s="1"/>
  <c r="U1022" i="20" s="1"/>
  <c r="M1022" i="20"/>
  <c r="M1021" i="20"/>
  <c r="Q1021" i="20" s="1"/>
  <c r="S1021" i="20" s="1"/>
  <c r="U1021" i="20" s="1"/>
  <c r="O1020" i="20"/>
  <c r="M1020" i="20"/>
  <c r="Q1020" i="20" s="1"/>
  <c r="S1020" i="20" s="1"/>
  <c r="U1020" i="20" s="1"/>
  <c r="J1020" i="20"/>
  <c r="J1021" i="20" s="1"/>
  <c r="J1022" i="20" s="1"/>
  <c r="M1019" i="20"/>
  <c r="Q1019" i="20" s="1"/>
  <c r="S1019" i="20" s="1"/>
  <c r="U1019" i="20" s="1"/>
  <c r="O1017" i="20"/>
  <c r="O1016" i="20"/>
  <c r="O1015" i="20"/>
  <c r="O1013" i="20"/>
  <c r="O1012" i="20"/>
  <c r="O1011" i="20"/>
  <c r="S1010" i="20"/>
  <c r="U1010" i="20" s="1"/>
  <c r="Q1010" i="20"/>
  <c r="Q1008" i="20"/>
  <c r="S1008" i="20" s="1"/>
  <c r="U1008" i="20" s="1"/>
  <c r="S1007" i="20"/>
  <c r="U1007" i="20" s="1"/>
  <c r="Q1007" i="20"/>
  <c r="Q1006" i="20"/>
  <c r="S1006" i="20" s="1"/>
  <c r="U1006" i="20" s="1"/>
  <c r="S1004" i="20"/>
  <c r="U1004" i="20" s="1"/>
  <c r="Q1004" i="20"/>
  <c r="O1003" i="20"/>
  <c r="Q1003" i="20" s="1"/>
  <c r="S1003" i="20" s="1"/>
  <c r="U1003" i="20" s="1"/>
  <c r="Q1002" i="20"/>
  <c r="S1002" i="20" s="1"/>
  <c r="U1002" i="20" s="1"/>
  <c r="O1002" i="20"/>
  <c r="Q1000" i="20"/>
  <c r="S1000" i="20" s="1"/>
  <c r="U1000" i="20" s="1"/>
  <c r="O999" i="20"/>
  <c r="O998" i="20"/>
  <c r="Q996" i="20"/>
  <c r="S996" i="20" s="1"/>
  <c r="U996" i="20" s="1"/>
  <c r="O995" i="20"/>
  <c r="J995" i="20"/>
  <c r="M995" i="20" s="1"/>
  <c r="Q995" i="20" s="1"/>
  <c r="S995" i="20" s="1"/>
  <c r="U995" i="20" s="1"/>
  <c r="O994" i="20"/>
  <c r="M994" i="20"/>
  <c r="Q994" i="20" s="1"/>
  <c r="S994" i="20" s="1"/>
  <c r="U994" i="20" s="1"/>
  <c r="Q992" i="20"/>
  <c r="S992" i="20" s="1"/>
  <c r="U992" i="20" s="1"/>
  <c r="Q991" i="20"/>
  <c r="S991" i="20" s="1"/>
  <c r="U991" i="20" s="1"/>
  <c r="Q990" i="20"/>
  <c r="S990" i="20" s="1"/>
  <c r="U990" i="20" s="1"/>
  <c r="O988" i="20"/>
  <c r="O987" i="20"/>
  <c r="O986" i="20"/>
  <c r="O985" i="20"/>
  <c r="Q984" i="20"/>
  <c r="S984" i="20" s="1"/>
  <c r="U984" i="20" s="1"/>
  <c r="O981" i="20"/>
  <c r="O979" i="20"/>
  <c r="O978" i="20"/>
  <c r="O977" i="20"/>
  <c r="O976" i="20"/>
  <c r="Q975" i="20"/>
  <c r="S975" i="20" s="1"/>
  <c r="U975" i="20" s="1"/>
  <c r="O972" i="20"/>
  <c r="O970" i="20"/>
  <c r="O969" i="20"/>
  <c r="S968" i="20"/>
  <c r="U968" i="20" s="1"/>
  <c r="Q968" i="20"/>
  <c r="O966" i="20"/>
  <c r="O965" i="20"/>
  <c r="I964" i="20"/>
  <c r="O964" i="20" s="1"/>
  <c r="I963" i="20"/>
  <c r="O963" i="20" s="1"/>
  <c r="S962" i="20"/>
  <c r="U962" i="20" s="1"/>
  <c r="Q962" i="20"/>
  <c r="O959" i="20"/>
  <c r="O957" i="20"/>
  <c r="O956" i="20"/>
  <c r="I955" i="20"/>
  <c r="O955" i="20" s="1"/>
  <c r="I954" i="20"/>
  <c r="O954" i="20" s="1"/>
  <c r="U953" i="20"/>
  <c r="S953" i="20"/>
  <c r="Q953" i="20"/>
  <c r="Q952" i="20"/>
  <c r="O950" i="20"/>
  <c r="O948" i="20"/>
  <c r="O947" i="20"/>
  <c r="I946" i="20"/>
  <c r="O946" i="20" s="1"/>
  <c r="I945" i="20"/>
  <c r="O945" i="20" s="1"/>
  <c r="Q944" i="20"/>
  <c r="S944" i="20" s="1"/>
  <c r="U944" i="20" s="1"/>
  <c r="O941" i="20"/>
  <c r="O939" i="20"/>
  <c r="M939" i="20"/>
  <c r="Q939" i="20" s="1"/>
  <c r="S939" i="20" s="1"/>
  <c r="U939" i="20" s="1"/>
  <c r="O938" i="20"/>
  <c r="O937" i="20"/>
  <c r="M937" i="20"/>
  <c r="Q937" i="20" s="1"/>
  <c r="S937" i="20" s="1"/>
  <c r="U937" i="20" s="1"/>
  <c r="J937" i="20"/>
  <c r="J938" i="20" s="1"/>
  <c r="O936" i="20"/>
  <c r="M936" i="20"/>
  <c r="Q936" i="20" s="1"/>
  <c r="S936" i="20" s="1"/>
  <c r="U936" i="20" s="1"/>
  <c r="M934" i="20"/>
  <c r="M933" i="20"/>
  <c r="O932" i="20"/>
  <c r="O933" i="20" s="1"/>
  <c r="M932" i="20"/>
  <c r="Q932" i="20" s="1"/>
  <c r="S932" i="20" s="1"/>
  <c r="U932" i="20" s="1"/>
  <c r="M931" i="20"/>
  <c r="Q931" i="20" s="1"/>
  <c r="S931" i="20" s="1"/>
  <c r="U931" i="20" s="1"/>
  <c r="Q930" i="20"/>
  <c r="O928" i="20"/>
  <c r="O929" i="20" s="1"/>
  <c r="Q929" i="20" s="1"/>
  <c r="S929" i="20" s="1"/>
  <c r="U929" i="20" s="1"/>
  <c r="P927" i="20"/>
  <c r="P928" i="20" s="1"/>
  <c r="P929" i="20" s="1"/>
  <c r="O927" i="20"/>
  <c r="Q927" i="20" s="1"/>
  <c r="S927" i="20" s="1"/>
  <c r="U927" i="20" s="1"/>
  <c r="Q926" i="20"/>
  <c r="S926" i="20" s="1"/>
  <c r="U926" i="20" s="1"/>
  <c r="I921" i="20"/>
  <c r="I922" i="20" s="1"/>
  <c r="I918" i="20"/>
  <c r="I919" i="20" s="1"/>
  <c r="O919" i="20" s="1"/>
  <c r="I917" i="20"/>
  <c r="O917" i="20" s="1"/>
  <c r="O916" i="20"/>
  <c r="O914" i="20"/>
  <c r="O913" i="20"/>
  <c r="O912" i="20"/>
  <c r="O911" i="20"/>
  <c r="I907" i="20"/>
  <c r="I908" i="20" s="1"/>
  <c r="O906" i="20"/>
  <c r="Q895" i="20"/>
  <c r="Q890" i="20"/>
  <c r="M889" i="20"/>
  <c r="M888" i="20"/>
  <c r="O887" i="20"/>
  <c r="O888" i="20" s="1"/>
  <c r="M887" i="20"/>
  <c r="Q887" i="20" s="1"/>
  <c r="S887" i="20" s="1"/>
  <c r="U887" i="20" s="1"/>
  <c r="M886" i="20"/>
  <c r="Q886" i="20" s="1"/>
  <c r="S886" i="20" s="1"/>
  <c r="U886" i="20" s="1"/>
  <c r="Q874" i="20"/>
  <c r="Q873" i="20"/>
  <c r="S873" i="20" s="1"/>
  <c r="U873" i="20" s="1"/>
  <c r="S872" i="20"/>
  <c r="U872" i="20" s="1"/>
  <c r="Q872" i="20"/>
  <c r="N872" i="20"/>
  <c r="N873" i="20" s="1"/>
  <c r="N874" i="20" s="1"/>
  <c r="Q871" i="20"/>
  <c r="S871" i="20" s="1"/>
  <c r="U871" i="20" s="1"/>
  <c r="K869" i="20"/>
  <c r="J869" i="20"/>
  <c r="J874" i="20" s="1"/>
  <c r="J879" i="20" s="1"/>
  <c r="J884" i="20" s="1"/>
  <c r="K868" i="20"/>
  <c r="K873" i="20" s="1"/>
  <c r="J868" i="20"/>
  <c r="J873" i="20" s="1"/>
  <c r="J878" i="20" s="1"/>
  <c r="J883" i="20" s="1"/>
  <c r="K867" i="20"/>
  <c r="K872" i="20" s="1"/>
  <c r="J867" i="20"/>
  <c r="M867" i="20" s="1"/>
  <c r="K866" i="20"/>
  <c r="K871" i="20" s="1"/>
  <c r="J866" i="20"/>
  <c r="J871" i="20" s="1"/>
  <c r="J876" i="20" s="1"/>
  <c r="J881" i="20" s="1"/>
  <c r="M864" i="20"/>
  <c r="M863" i="20"/>
  <c r="O862" i="20"/>
  <c r="M862" i="20"/>
  <c r="Q862" i="20" s="1"/>
  <c r="S862" i="20" s="1"/>
  <c r="U862" i="20" s="1"/>
  <c r="I862" i="20"/>
  <c r="I863" i="20" s="1"/>
  <c r="O861" i="20"/>
  <c r="M861" i="20"/>
  <c r="Q861" i="20" s="1"/>
  <c r="S861" i="20" s="1"/>
  <c r="U861" i="20" s="1"/>
  <c r="Q859" i="20"/>
  <c r="S859" i="20" s="1"/>
  <c r="U859" i="20" s="1"/>
  <c r="O859" i="20"/>
  <c r="M859" i="20"/>
  <c r="O857" i="20"/>
  <c r="M857" i="20"/>
  <c r="Q857" i="20" s="1"/>
  <c r="S857" i="20" s="1"/>
  <c r="U857" i="20" s="1"/>
  <c r="S856" i="20"/>
  <c r="U856" i="20" s="1"/>
  <c r="Q856" i="20"/>
  <c r="U853" i="20"/>
  <c r="K853" i="20"/>
  <c r="M853" i="20" s="1"/>
  <c r="Q853" i="20" s="1"/>
  <c r="S853" i="20" s="1"/>
  <c r="I853" i="20"/>
  <c r="M852" i="20"/>
  <c r="Q852" i="20" s="1"/>
  <c r="S852" i="20" s="1"/>
  <c r="U852" i="20" s="1"/>
  <c r="K852" i="20"/>
  <c r="J852" i="20"/>
  <c r="J853" i="20" s="1"/>
  <c r="I852" i="20"/>
  <c r="Q851" i="20"/>
  <c r="S851" i="20" s="1"/>
  <c r="U851" i="20" s="1"/>
  <c r="M851" i="20"/>
  <c r="U850" i="20"/>
  <c r="Q850" i="20"/>
  <c r="S850" i="20" s="1"/>
  <c r="S848" i="20"/>
  <c r="U848" i="20" s="1"/>
  <c r="Q848" i="20"/>
  <c r="S847" i="20"/>
  <c r="U847" i="20" s="1"/>
  <c r="Q847" i="20"/>
  <c r="S846" i="20"/>
  <c r="U846" i="20" s="1"/>
  <c r="Q846" i="20"/>
  <c r="K845" i="20"/>
  <c r="J845" i="20"/>
  <c r="J846" i="20" s="1"/>
  <c r="J847" i="20" s="1"/>
  <c r="J848" i="20" s="1"/>
  <c r="M844" i="20"/>
  <c r="K844" i="20"/>
  <c r="J844" i="20"/>
  <c r="I844" i="20"/>
  <c r="I845" i="20" s="1"/>
  <c r="I846" i="20" s="1"/>
  <c r="I847" i="20" s="1"/>
  <c r="I848" i="20" s="1"/>
  <c r="Q843" i="20"/>
  <c r="S843" i="20" s="1"/>
  <c r="U843" i="20" s="1"/>
  <c r="O843" i="20"/>
  <c r="M843" i="20"/>
  <c r="S841" i="20"/>
  <c r="U841" i="20" s="1"/>
  <c r="Q841" i="20"/>
  <c r="Q840" i="20"/>
  <c r="S840" i="20" s="1"/>
  <c r="U840" i="20" s="1"/>
  <c r="S839" i="20"/>
  <c r="U839" i="20" s="1"/>
  <c r="Q839" i="20"/>
  <c r="M838" i="20"/>
  <c r="Q838" i="20" s="1"/>
  <c r="S838" i="20" s="1"/>
  <c r="U838" i="20" s="1"/>
  <c r="O837" i="20"/>
  <c r="M837" i="20"/>
  <c r="Q837" i="20" s="1"/>
  <c r="S837" i="20" s="1"/>
  <c r="U837" i="20" s="1"/>
  <c r="J837" i="20"/>
  <c r="J838" i="20" s="1"/>
  <c r="J839" i="20" s="1"/>
  <c r="J840" i="20" s="1"/>
  <c r="J841" i="20" s="1"/>
  <c r="O836" i="20"/>
  <c r="M836" i="20"/>
  <c r="Q836" i="20" s="1"/>
  <c r="S836" i="20" s="1"/>
  <c r="U836" i="20" s="1"/>
  <c r="O834" i="20"/>
  <c r="Q834" i="20" s="1"/>
  <c r="S834" i="20" s="1"/>
  <c r="U834" i="20" s="1"/>
  <c r="M834" i="20"/>
  <c r="M833" i="20"/>
  <c r="Q833" i="20" s="1"/>
  <c r="S833" i="20" s="1"/>
  <c r="U833" i="20" s="1"/>
  <c r="Q832" i="20"/>
  <c r="S832" i="20" s="1"/>
  <c r="U832" i="20" s="1"/>
  <c r="M832" i="20"/>
  <c r="M831" i="20"/>
  <c r="Q831" i="20" s="1"/>
  <c r="S831" i="20" s="1"/>
  <c r="U831" i="20" s="1"/>
  <c r="M829" i="20"/>
  <c r="Q829" i="20" s="1"/>
  <c r="S829" i="20" s="1"/>
  <c r="U829" i="20" s="1"/>
  <c r="Q828" i="20"/>
  <c r="S828" i="20" s="1"/>
  <c r="U828" i="20" s="1"/>
  <c r="M828" i="20"/>
  <c r="M827" i="20"/>
  <c r="Q827" i="20" s="1"/>
  <c r="S827" i="20" s="1"/>
  <c r="U827" i="20" s="1"/>
  <c r="Q826" i="20"/>
  <c r="S826" i="20" s="1"/>
  <c r="U826" i="20" s="1"/>
  <c r="M826" i="20"/>
  <c r="Q824" i="20"/>
  <c r="S824" i="20" s="1"/>
  <c r="U824" i="20" s="1"/>
  <c r="O824" i="20"/>
  <c r="M824" i="20"/>
  <c r="Q823" i="20"/>
  <c r="S823" i="20" s="1"/>
  <c r="U823" i="20" s="1"/>
  <c r="U821" i="20"/>
  <c r="S821" i="20"/>
  <c r="Q821" i="20"/>
  <c r="M819" i="20"/>
  <c r="Q819" i="20" s="1"/>
  <c r="S819" i="20" s="1"/>
  <c r="U819" i="20" s="1"/>
  <c r="Q818" i="20"/>
  <c r="S818" i="20" s="1"/>
  <c r="U818" i="20" s="1"/>
  <c r="M818" i="20"/>
  <c r="Q816" i="20"/>
  <c r="S816" i="20" s="1"/>
  <c r="U816" i="20" s="1"/>
  <c r="S815" i="20"/>
  <c r="U815" i="20" s="1"/>
  <c r="Q815" i="20"/>
  <c r="U814" i="20"/>
  <c r="S814" i="20"/>
  <c r="Q814" i="20"/>
  <c r="S812" i="20"/>
  <c r="U812" i="20" s="1"/>
  <c r="Q812" i="20"/>
  <c r="U811" i="20"/>
  <c r="S811" i="20"/>
  <c r="Q811" i="20"/>
  <c r="Q810" i="20"/>
  <c r="S810" i="20" s="1"/>
  <c r="U810" i="20" s="1"/>
  <c r="Q809" i="20"/>
  <c r="S809" i="20" s="1"/>
  <c r="U809" i="20" s="1"/>
  <c r="S808" i="20"/>
  <c r="U808" i="20" s="1"/>
  <c r="Q808" i="20"/>
  <c r="M808" i="20"/>
  <c r="O806" i="20"/>
  <c r="M806" i="20"/>
  <c r="Q806" i="20" s="1"/>
  <c r="S806" i="20" s="1"/>
  <c r="U806" i="20" s="1"/>
  <c r="Q805" i="20"/>
  <c r="S805" i="20" s="1"/>
  <c r="U805" i="20" s="1"/>
  <c r="Q803" i="20"/>
  <c r="S803" i="20" s="1"/>
  <c r="U803" i="20" s="1"/>
  <c r="U801" i="20"/>
  <c r="S801" i="20"/>
  <c r="Q801" i="20"/>
  <c r="M800" i="20"/>
  <c r="Q800" i="20" s="1"/>
  <c r="S800" i="20" s="1"/>
  <c r="U800" i="20" s="1"/>
  <c r="Q798" i="20"/>
  <c r="S798" i="20" s="1"/>
  <c r="U798" i="20" s="1"/>
  <c r="Q797" i="20"/>
  <c r="S797" i="20" s="1"/>
  <c r="U797" i="20" s="1"/>
  <c r="S796" i="20"/>
  <c r="U796" i="20" s="1"/>
  <c r="Q796" i="20"/>
  <c r="M796" i="20"/>
  <c r="Q793" i="20"/>
  <c r="S793" i="20" s="1"/>
  <c r="U793" i="20" s="1"/>
  <c r="M793" i="20"/>
  <c r="M792" i="20"/>
  <c r="Q792" i="20" s="1"/>
  <c r="S792" i="20" s="1"/>
  <c r="U792" i="20" s="1"/>
  <c r="Q791" i="20"/>
  <c r="S791" i="20" s="1"/>
  <c r="U791" i="20" s="1"/>
  <c r="M791" i="20"/>
  <c r="M790" i="20"/>
  <c r="Q790" i="20" s="1"/>
  <c r="S790" i="20" s="1"/>
  <c r="U790" i="20" s="1"/>
  <c r="M788" i="20"/>
  <c r="Q788" i="20" s="1"/>
  <c r="S788" i="20" s="1"/>
  <c r="U788" i="20" s="1"/>
  <c r="Q787" i="20"/>
  <c r="S787" i="20" s="1"/>
  <c r="U787" i="20" s="1"/>
  <c r="M787" i="20"/>
  <c r="Q785" i="20"/>
  <c r="S785" i="20" s="1"/>
  <c r="U785" i="20" s="1"/>
  <c r="M785" i="20"/>
  <c r="M784" i="20"/>
  <c r="Q784" i="20" s="1"/>
  <c r="S784" i="20" s="1"/>
  <c r="U784" i="20" s="1"/>
  <c r="Q783" i="20"/>
  <c r="S783" i="20" s="1"/>
  <c r="U783" i="20" s="1"/>
  <c r="M783" i="20"/>
  <c r="Q782" i="20"/>
  <c r="S782" i="20" s="1"/>
  <c r="U782" i="20" s="1"/>
  <c r="M780" i="20"/>
  <c r="Q780" i="20" s="1"/>
  <c r="S780" i="20" s="1"/>
  <c r="U780" i="20" s="1"/>
  <c r="M779" i="20"/>
  <c r="Q779" i="20" s="1"/>
  <c r="S779" i="20" s="1"/>
  <c r="U779" i="20" s="1"/>
  <c r="M778" i="20"/>
  <c r="Q778" i="20" s="1"/>
  <c r="S778" i="20" s="1"/>
  <c r="U778" i="20" s="1"/>
  <c r="Q777" i="20"/>
  <c r="S777" i="20" s="1"/>
  <c r="U777" i="20" s="1"/>
  <c r="M775" i="20"/>
  <c r="Q775" i="20" s="1"/>
  <c r="S775" i="20" s="1"/>
  <c r="U775" i="20" s="1"/>
  <c r="Q774" i="20"/>
  <c r="S774" i="20" s="1"/>
  <c r="U774" i="20" s="1"/>
  <c r="M774" i="20"/>
  <c r="M773" i="20"/>
  <c r="Q773" i="20" s="1"/>
  <c r="S773" i="20" s="1"/>
  <c r="U773" i="20" s="1"/>
  <c r="Q772" i="20"/>
  <c r="S772" i="20" s="1"/>
  <c r="U772" i="20" s="1"/>
  <c r="M772" i="20"/>
  <c r="M771" i="20"/>
  <c r="Q771" i="20" s="1"/>
  <c r="S771" i="20" s="1"/>
  <c r="U771" i="20" s="1"/>
  <c r="Q770" i="20"/>
  <c r="S770" i="20" s="1"/>
  <c r="U770" i="20" s="1"/>
  <c r="M770" i="20"/>
  <c r="M769" i="20"/>
  <c r="Q769" i="20" s="1"/>
  <c r="S769" i="20" s="1"/>
  <c r="U769" i="20" s="1"/>
  <c r="Q768" i="20"/>
  <c r="S768" i="20" s="1"/>
  <c r="U768" i="20" s="1"/>
  <c r="M768" i="20"/>
  <c r="M767" i="20"/>
  <c r="Q767" i="20" s="1"/>
  <c r="S767" i="20" s="1"/>
  <c r="U767" i="20" s="1"/>
  <c r="Q766" i="20"/>
  <c r="S766" i="20" s="1"/>
  <c r="U766" i="20" s="1"/>
  <c r="M766" i="20"/>
  <c r="M765" i="20"/>
  <c r="Q765" i="20" s="1"/>
  <c r="S765" i="20" s="1"/>
  <c r="U765" i="20" s="1"/>
  <c r="Q764" i="20"/>
  <c r="S764" i="20" s="1"/>
  <c r="U764" i="20" s="1"/>
  <c r="M764" i="20"/>
  <c r="Q763" i="20"/>
  <c r="S763" i="20" s="1"/>
  <c r="U763" i="20" s="1"/>
  <c r="Q762" i="20"/>
  <c r="S762" i="20" s="1"/>
  <c r="U762" i="20" s="1"/>
  <c r="O760" i="20"/>
  <c r="Q760" i="20" s="1"/>
  <c r="S760" i="20" s="1"/>
  <c r="U760" i="20" s="1"/>
  <c r="Q759" i="20"/>
  <c r="S759" i="20" s="1"/>
  <c r="U759" i="20" s="1"/>
  <c r="O758" i="20"/>
  <c r="Q758" i="20" s="1"/>
  <c r="S758" i="20" s="1"/>
  <c r="U758" i="20" s="1"/>
  <c r="S757" i="20"/>
  <c r="U757" i="20" s="1"/>
  <c r="Q757" i="20"/>
  <c r="O755" i="20"/>
  <c r="K754" i="20"/>
  <c r="J754" i="20"/>
  <c r="M754" i="20" s="1"/>
  <c r="I754" i="20"/>
  <c r="O754" i="20" s="1"/>
  <c r="M753" i="20"/>
  <c r="Q753" i="20" s="1"/>
  <c r="S753" i="20" s="1"/>
  <c r="U753" i="20" s="1"/>
  <c r="K753" i="20"/>
  <c r="J753" i="20"/>
  <c r="K752" i="20"/>
  <c r="J752" i="20"/>
  <c r="M752" i="20" s="1"/>
  <c r="I752" i="20"/>
  <c r="M750" i="20"/>
  <c r="Q750" i="20" s="1"/>
  <c r="S750" i="20" s="1"/>
  <c r="U750" i="20" s="1"/>
  <c r="M749" i="20"/>
  <c r="Q749" i="20" s="1"/>
  <c r="S749" i="20" s="1"/>
  <c r="U749" i="20" s="1"/>
  <c r="I749" i="20"/>
  <c r="I753" i="20" s="1"/>
  <c r="Q748" i="20"/>
  <c r="S748" i="20" s="1"/>
  <c r="U748" i="20" s="1"/>
  <c r="M748" i="20"/>
  <c r="Q747" i="20"/>
  <c r="S747" i="20" s="1"/>
  <c r="U747" i="20" s="1"/>
  <c r="S744" i="20"/>
  <c r="U744" i="20" s="1"/>
  <c r="Q744" i="20"/>
  <c r="J743" i="20"/>
  <c r="M743" i="20" s="1"/>
  <c r="Q743" i="20" s="1"/>
  <c r="S743" i="20" s="1"/>
  <c r="U743" i="20" s="1"/>
  <c r="M742" i="20"/>
  <c r="Q742" i="20" s="1"/>
  <c r="S742" i="20" s="1"/>
  <c r="U742" i="20" s="1"/>
  <c r="J742" i="20"/>
  <c r="Q740" i="20"/>
  <c r="S740" i="20" s="1"/>
  <c r="U740" i="20" s="1"/>
  <c r="S739" i="20"/>
  <c r="U739" i="20" s="1"/>
  <c r="Q739" i="20"/>
  <c r="S738" i="20"/>
  <c r="U738" i="20" s="1"/>
  <c r="Q738" i="20"/>
  <c r="S736" i="20"/>
  <c r="U736" i="20" s="1"/>
  <c r="Q736" i="20"/>
  <c r="Q735" i="20"/>
  <c r="S735" i="20" s="1"/>
  <c r="U735" i="20" s="1"/>
  <c r="Q734" i="20"/>
  <c r="S734" i="20" s="1"/>
  <c r="U734" i="20" s="1"/>
  <c r="Q732" i="20"/>
  <c r="S732" i="20" s="1"/>
  <c r="U732" i="20" s="1"/>
  <c r="Q731" i="20"/>
  <c r="O730" i="20"/>
  <c r="M730" i="20"/>
  <c r="Q730" i="20" s="1"/>
  <c r="S730" i="20" s="1"/>
  <c r="U730" i="20" s="1"/>
  <c r="Q728" i="20"/>
  <c r="S728" i="20" s="1"/>
  <c r="U728" i="20" s="1"/>
  <c r="S727" i="20"/>
  <c r="U727" i="20" s="1"/>
  <c r="Q727" i="20"/>
  <c r="I727" i="20"/>
  <c r="I739" i="20" s="1"/>
  <c r="S726" i="20"/>
  <c r="U726" i="20" s="1"/>
  <c r="Q726" i="20"/>
  <c r="I726" i="20"/>
  <c r="I738" i="20" s="1"/>
  <c r="Q724" i="20"/>
  <c r="Q723" i="20"/>
  <c r="K723" i="20"/>
  <c r="K724" i="20" s="1"/>
  <c r="I723" i="20"/>
  <c r="I735" i="20" s="1"/>
  <c r="Q722" i="20"/>
  <c r="S722" i="20" s="1"/>
  <c r="U722" i="20" s="1"/>
  <c r="K722" i="20"/>
  <c r="I722" i="20"/>
  <c r="I734" i="20" s="1"/>
  <c r="K719" i="20"/>
  <c r="K720" i="20" s="1"/>
  <c r="M720" i="20" s="1"/>
  <c r="Q720" i="20" s="1"/>
  <c r="I719" i="20"/>
  <c r="I731" i="20" s="1"/>
  <c r="K718" i="20"/>
  <c r="M718" i="20" s="1"/>
  <c r="Q718" i="20" s="1"/>
  <c r="I718" i="20"/>
  <c r="K716" i="20"/>
  <c r="M716" i="20" s="1"/>
  <c r="Q716" i="20" s="1"/>
  <c r="S716" i="20" s="1"/>
  <c r="U716" i="20" s="1"/>
  <c r="M715" i="20"/>
  <c r="Q715" i="20" s="1"/>
  <c r="S715" i="20" s="1"/>
  <c r="U715" i="20" s="1"/>
  <c r="Q714" i="20"/>
  <c r="S714" i="20" s="1"/>
  <c r="U714" i="20" s="1"/>
  <c r="M714" i="20"/>
  <c r="J714" i="20"/>
  <c r="S712" i="20"/>
  <c r="U712" i="20" s="1"/>
  <c r="Q712" i="20"/>
  <c r="J711" i="20"/>
  <c r="J715" i="20" s="1"/>
  <c r="M710" i="20"/>
  <c r="Q710" i="20" s="1"/>
  <c r="S710" i="20" s="1"/>
  <c r="U710" i="20" s="1"/>
  <c r="J710" i="20"/>
  <c r="Q708" i="20"/>
  <c r="S708" i="20" s="1"/>
  <c r="U708" i="20" s="1"/>
  <c r="S707" i="20"/>
  <c r="U707" i="20" s="1"/>
  <c r="Q707" i="20"/>
  <c r="S706" i="20"/>
  <c r="U706" i="20" s="1"/>
  <c r="Q706" i="20"/>
  <c r="S704" i="20"/>
  <c r="U704" i="20" s="1"/>
  <c r="Q704" i="20"/>
  <c r="Q703" i="20"/>
  <c r="S703" i="20" s="1"/>
  <c r="U703" i="20" s="1"/>
  <c r="Q702" i="20"/>
  <c r="S702" i="20" s="1"/>
  <c r="U702" i="20" s="1"/>
  <c r="Q700" i="20"/>
  <c r="S700" i="20" s="1"/>
  <c r="U700" i="20" s="1"/>
  <c r="Q699" i="20"/>
  <c r="O698" i="20"/>
  <c r="M698" i="20"/>
  <c r="Q698" i="20" s="1"/>
  <c r="S698" i="20" s="1"/>
  <c r="U698" i="20" s="1"/>
  <c r="Q696" i="20"/>
  <c r="S696" i="20" s="1"/>
  <c r="U696" i="20" s="1"/>
  <c r="S695" i="20"/>
  <c r="U695" i="20" s="1"/>
  <c r="Q695" i="20"/>
  <c r="I695" i="20"/>
  <c r="I707" i="20" s="1"/>
  <c r="S694" i="20"/>
  <c r="U694" i="20" s="1"/>
  <c r="Q694" i="20"/>
  <c r="I694" i="20"/>
  <c r="I706" i="20" s="1"/>
  <c r="Q692" i="20"/>
  <c r="Q691" i="20"/>
  <c r="K691" i="20"/>
  <c r="K692" i="20" s="1"/>
  <c r="I691" i="20"/>
  <c r="I703" i="20" s="1"/>
  <c r="Q690" i="20"/>
  <c r="S690" i="20" s="1"/>
  <c r="U690" i="20" s="1"/>
  <c r="K690" i="20"/>
  <c r="I690" i="20"/>
  <c r="I702" i="20" s="1"/>
  <c r="K687" i="20"/>
  <c r="K688" i="20" s="1"/>
  <c r="M688" i="20" s="1"/>
  <c r="Q688" i="20" s="1"/>
  <c r="I687" i="20"/>
  <c r="I699" i="20" s="1"/>
  <c r="K686" i="20"/>
  <c r="M686" i="20" s="1"/>
  <c r="Q686" i="20" s="1"/>
  <c r="I686" i="20"/>
  <c r="K684" i="20"/>
  <c r="M684" i="20" s="1"/>
  <c r="Q684" i="20" s="1"/>
  <c r="S684" i="20" s="1"/>
  <c r="U684" i="20" s="1"/>
  <c r="M683" i="20"/>
  <c r="Q683" i="20" s="1"/>
  <c r="S683" i="20" s="1"/>
  <c r="U683" i="20" s="1"/>
  <c r="M682" i="20"/>
  <c r="Q682" i="20" s="1"/>
  <c r="S682" i="20" s="1"/>
  <c r="U682" i="20" s="1"/>
  <c r="O679" i="20"/>
  <c r="Q679" i="20" s="1"/>
  <c r="S679" i="20" s="1"/>
  <c r="U679" i="20" s="1"/>
  <c r="O678" i="20"/>
  <c r="I678" i="20"/>
  <c r="Q677" i="20"/>
  <c r="S677" i="20" s="1"/>
  <c r="U677" i="20" s="1"/>
  <c r="I677" i="20"/>
  <c r="Q676" i="20"/>
  <c r="S676" i="20" s="1"/>
  <c r="U676" i="20" s="1"/>
  <c r="I676" i="20"/>
  <c r="O675" i="20"/>
  <c r="I675" i="20"/>
  <c r="O674" i="20"/>
  <c r="J674" i="20"/>
  <c r="J675" i="20" s="1"/>
  <c r="I674" i="20"/>
  <c r="S672" i="20"/>
  <c r="U672" i="20" s="1"/>
  <c r="Q672" i="20"/>
  <c r="I672" i="20"/>
  <c r="S671" i="20"/>
  <c r="U671" i="20" s="1"/>
  <c r="Q671" i="20"/>
  <c r="O668" i="20"/>
  <c r="I668" i="20"/>
  <c r="S667" i="20"/>
  <c r="U667" i="20" s="1"/>
  <c r="Q667" i="20"/>
  <c r="I667" i="20"/>
  <c r="S666" i="20"/>
  <c r="U666" i="20" s="1"/>
  <c r="Q666" i="20"/>
  <c r="I666" i="20"/>
  <c r="O665" i="20"/>
  <c r="J665" i="20"/>
  <c r="J668" i="20" s="1"/>
  <c r="M668" i="20" s="1"/>
  <c r="Q668" i="20" s="1"/>
  <c r="S668" i="20" s="1"/>
  <c r="U668" i="20" s="1"/>
  <c r="I665" i="20"/>
  <c r="O664" i="20"/>
  <c r="M664" i="20"/>
  <c r="Q664" i="20" s="1"/>
  <c r="S664" i="20" s="1"/>
  <c r="U664" i="20" s="1"/>
  <c r="I664" i="20"/>
  <c r="Q662" i="20"/>
  <c r="S662" i="20" s="1"/>
  <c r="U662" i="20" s="1"/>
  <c r="I662" i="20"/>
  <c r="S661" i="20"/>
  <c r="U661" i="20" s="1"/>
  <c r="Q661" i="20"/>
  <c r="O658" i="20"/>
  <c r="O657" i="20"/>
  <c r="J657" i="20"/>
  <c r="J658" i="20" s="1"/>
  <c r="O656" i="20"/>
  <c r="M656" i="20"/>
  <c r="Q656" i="20" s="1"/>
  <c r="S656" i="20" s="1"/>
  <c r="U656" i="20" s="1"/>
  <c r="Q655" i="20"/>
  <c r="S655" i="20" s="1"/>
  <c r="U655" i="20" s="1"/>
  <c r="Q654" i="20"/>
  <c r="S654" i="20" s="1"/>
  <c r="U654" i="20" s="1"/>
  <c r="Q653" i="20"/>
  <c r="S653" i="20" s="1"/>
  <c r="U653" i="20" s="1"/>
  <c r="Q652" i="20"/>
  <c r="S652" i="20" s="1"/>
  <c r="U652" i="20" s="1"/>
  <c r="Q651" i="20"/>
  <c r="S651" i="20" s="1"/>
  <c r="U651" i="20" s="1"/>
  <c r="Q650" i="20"/>
  <c r="S650" i="20" s="1"/>
  <c r="U650" i="20" s="1"/>
  <c r="Q649" i="20"/>
  <c r="S649" i="20" s="1"/>
  <c r="U649" i="20" s="1"/>
  <c r="Q648" i="20"/>
  <c r="S648" i="20" s="1"/>
  <c r="U648" i="20" s="1"/>
  <c r="Q647" i="20"/>
  <c r="S647" i="20" s="1"/>
  <c r="U647" i="20" s="1"/>
  <c r="O647" i="20"/>
  <c r="M647" i="20"/>
  <c r="J647" i="20"/>
  <c r="J648" i="20" s="1"/>
  <c r="J649" i="20" s="1"/>
  <c r="J650" i="20" s="1"/>
  <c r="J651" i="20" s="1"/>
  <c r="J652" i="20" s="1"/>
  <c r="J653" i="20" s="1"/>
  <c r="J654" i="20" s="1"/>
  <c r="J655" i="20" s="1"/>
  <c r="U646" i="20"/>
  <c r="S646" i="20"/>
  <c r="Q645" i="20"/>
  <c r="S645" i="20" s="1"/>
  <c r="U645" i="20" s="1"/>
  <c r="O645" i="20"/>
  <c r="M645" i="20"/>
  <c r="S644" i="20"/>
  <c r="U644" i="20" s="1"/>
  <c r="Q644" i="20"/>
  <c r="Q642" i="20"/>
  <c r="S642" i="20" s="1"/>
  <c r="U642" i="20" s="1"/>
  <c r="Q641" i="20"/>
  <c r="S641" i="20" s="1"/>
  <c r="U641" i="20" s="1"/>
  <c r="J641" i="20"/>
  <c r="J642" i="20" s="1"/>
  <c r="Q640" i="20"/>
  <c r="S640" i="20" s="1"/>
  <c r="U640" i="20" s="1"/>
  <c r="S639" i="20"/>
  <c r="U639" i="20" s="1"/>
  <c r="Q639" i="20"/>
  <c r="Q637" i="20"/>
  <c r="S637" i="20" s="1"/>
  <c r="U637" i="20" s="1"/>
  <c r="O636" i="20"/>
  <c r="M636" i="20"/>
  <c r="Q636" i="20" s="1"/>
  <c r="S636" i="20" s="1"/>
  <c r="U636" i="20" s="1"/>
  <c r="Q635" i="20"/>
  <c r="S635" i="20" s="1"/>
  <c r="U635" i="20" s="1"/>
  <c r="O634" i="20"/>
  <c r="M634" i="20"/>
  <c r="Q634" i="20" s="1"/>
  <c r="S634" i="20" s="1"/>
  <c r="U634" i="20" s="1"/>
  <c r="Q632" i="20"/>
  <c r="S632" i="20" s="1"/>
  <c r="U632" i="20" s="1"/>
  <c r="O631" i="20"/>
  <c r="M631" i="20"/>
  <c r="Q631" i="20" s="1"/>
  <c r="S631" i="20" s="1"/>
  <c r="U631" i="20" s="1"/>
  <c r="Q630" i="20"/>
  <c r="S630" i="20" s="1"/>
  <c r="U630" i="20" s="1"/>
  <c r="O629" i="20"/>
  <c r="M629" i="20"/>
  <c r="Q629" i="20" s="1"/>
  <c r="S629" i="20" s="1"/>
  <c r="U629" i="20" s="1"/>
  <c r="Q627" i="20"/>
  <c r="S627" i="20" s="1"/>
  <c r="U627" i="20" s="1"/>
  <c r="S626" i="20"/>
  <c r="U626" i="20" s="1"/>
  <c r="Q626" i="20"/>
  <c r="Q625" i="20"/>
  <c r="S625" i="20" s="1"/>
  <c r="U625" i="20" s="1"/>
  <c r="O623" i="20"/>
  <c r="M623" i="20"/>
  <c r="Q623" i="20" s="1"/>
  <c r="S623" i="20" s="1"/>
  <c r="U623" i="20" s="1"/>
  <c r="O622" i="20"/>
  <c r="M622" i="20"/>
  <c r="Q622" i="20" s="1"/>
  <c r="S622" i="20" s="1"/>
  <c r="U622" i="20" s="1"/>
  <c r="O621" i="20"/>
  <c r="M621" i="20"/>
  <c r="Q621" i="20" s="1"/>
  <c r="S621" i="20" s="1"/>
  <c r="U621" i="20" s="1"/>
  <c r="Q620" i="20"/>
  <c r="S620" i="20" s="1"/>
  <c r="U620" i="20" s="1"/>
  <c r="O620" i="20"/>
  <c r="M620" i="20"/>
  <c r="O618" i="20"/>
  <c r="Q618" i="20" s="1"/>
  <c r="S618" i="20" s="1"/>
  <c r="U618" i="20" s="1"/>
  <c r="S617" i="20"/>
  <c r="U617" i="20" s="1"/>
  <c r="Q617" i="20"/>
  <c r="Q616" i="20"/>
  <c r="S616" i="20" s="1"/>
  <c r="U616" i="20" s="1"/>
  <c r="O614" i="20"/>
  <c r="J614" i="20"/>
  <c r="M614" i="20" s="1"/>
  <c r="Q614" i="20" s="1"/>
  <c r="S614" i="20" s="1"/>
  <c r="U614" i="20" s="1"/>
  <c r="M613" i="20"/>
  <c r="Q613" i="20" s="1"/>
  <c r="S613" i="20" s="1"/>
  <c r="U613" i="20" s="1"/>
  <c r="S612" i="20"/>
  <c r="U612" i="20" s="1"/>
  <c r="Q612" i="20"/>
  <c r="Q610" i="20"/>
  <c r="S610" i="20" s="1"/>
  <c r="U610" i="20" s="1"/>
  <c r="O610" i="20"/>
  <c r="M610" i="20"/>
  <c r="J610" i="20"/>
  <c r="Q609" i="20"/>
  <c r="S609" i="20" s="1"/>
  <c r="U609" i="20" s="1"/>
  <c r="M609" i="20"/>
  <c r="O608" i="20"/>
  <c r="M608" i="20"/>
  <c r="Q608" i="20" s="1"/>
  <c r="S608" i="20" s="1"/>
  <c r="U608" i="20" s="1"/>
  <c r="S606" i="20"/>
  <c r="U606" i="20" s="1"/>
  <c r="Q606" i="20"/>
  <c r="Q605" i="20"/>
  <c r="S605" i="20" s="1"/>
  <c r="U605" i="20" s="1"/>
  <c r="S602" i="20"/>
  <c r="U602" i="20" s="1"/>
  <c r="Q602" i="20"/>
  <c r="S601" i="20"/>
  <c r="U601" i="20" s="1"/>
  <c r="Q601" i="20"/>
  <c r="S600" i="20"/>
  <c r="U600" i="20" s="1"/>
  <c r="Q600" i="20"/>
  <c r="S599" i="20"/>
  <c r="U599" i="20" s="1"/>
  <c r="Q599" i="20"/>
  <c r="S598" i="20"/>
  <c r="U598" i="20" s="1"/>
  <c r="Q598" i="20"/>
  <c r="S596" i="20"/>
  <c r="U596" i="20" s="1"/>
  <c r="Q596" i="20"/>
  <c r="S595" i="20"/>
  <c r="U595" i="20" s="1"/>
  <c r="Q595" i="20"/>
  <c r="J595" i="20"/>
  <c r="J596" i="20" s="1"/>
  <c r="O594" i="20"/>
  <c r="M594" i="20"/>
  <c r="Q594" i="20" s="1"/>
  <c r="S594" i="20" s="1"/>
  <c r="U594" i="20" s="1"/>
  <c r="Q593" i="20"/>
  <c r="S593" i="20" s="1"/>
  <c r="U593" i="20" s="1"/>
  <c r="O592" i="20"/>
  <c r="I590" i="20"/>
  <c r="O590" i="20" s="1"/>
  <c r="O588" i="20"/>
  <c r="Q585" i="20"/>
  <c r="S585" i="20" s="1"/>
  <c r="U585" i="20" s="1"/>
  <c r="S583" i="20"/>
  <c r="U583" i="20" s="1"/>
  <c r="Q583" i="20"/>
  <c r="J583" i="20"/>
  <c r="J586" i="20" s="1"/>
  <c r="Q582" i="20"/>
  <c r="S582" i="20" s="1"/>
  <c r="U582" i="20" s="1"/>
  <c r="J582" i="20"/>
  <c r="I582" i="20"/>
  <c r="O580" i="20"/>
  <c r="M580" i="20"/>
  <c r="Q580" i="20" s="1"/>
  <c r="S580" i="20" s="1"/>
  <c r="U580" i="20" s="1"/>
  <c r="I580" i="20"/>
  <c r="I583" i="20" s="1"/>
  <c r="O579" i="20"/>
  <c r="M579" i="20"/>
  <c r="Q579" i="20" s="1"/>
  <c r="S579" i="20" s="1"/>
  <c r="U579" i="20" s="1"/>
  <c r="Q578" i="20"/>
  <c r="S578" i="20" s="1"/>
  <c r="U578" i="20" s="1"/>
  <c r="O577" i="20"/>
  <c r="M577" i="20"/>
  <c r="Q577" i="20" s="1"/>
  <c r="S577" i="20" s="1"/>
  <c r="U577" i="20" s="1"/>
  <c r="Q576" i="20"/>
  <c r="S576" i="20" s="1"/>
  <c r="U576" i="20" s="1"/>
  <c r="S573" i="20"/>
  <c r="U573" i="20" s="1"/>
  <c r="Q573" i="20"/>
  <c r="O572" i="20"/>
  <c r="Q572" i="20" s="1"/>
  <c r="S572" i="20" s="1"/>
  <c r="U572" i="20" s="1"/>
  <c r="O570" i="20"/>
  <c r="O569" i="20"/>
  <c r="Q568" i="20"/>
  <c r="S568" i="20" s="1"/>
  <c r="U568" i="20" s="1"/>
  <c r="Q567" i="20"/>
  <c r="S567" i="20" s="1"/>
  <c r="U567" i="20" s="1"/>
  <c r="O567" i="20"/>
  <c r="M567" i="20"/>
  <c r="J567" i="20"/>
  <c r="J568" i="20" s="1"/>
  <c r="J569" i="20" s="1"/>
  <c r="Q566" i="20"/>
  <c r="S566" i="20" s="1"/>
  <c r="U566" i="20" s="1"/>
  <c r="O566" i="20"/>
  <c r="M566" i="20"/>
  <c r="S565" i="20"/>
  <c r="U565" i="20" s="1"/>
  <c r="Q565" i="20"/>
  <c r="S563" i="20"/>
  <c r="U563" i="20" s="1"/>
  <c r="Q563" i="20"/>
  <c r="J563" i="20"/>
  <c r="J573" i="20" s="1"/>
  <c r="S562" i="20"/>
  <c r="U562" i="20" s="1"/>
  <c r="Q562" i="20"/>
  <c r="J562" i="20"/>
  <c r="O560" i="20"/>
  <c r="Q560" i="20" s="1"/>
  <c r="S560" i="20" s="1"/>
  <c r="U560" i="20" s="1"/>
  <c r="J560" i="20"/>
  <c r="Q559" i="20"/>
  <c r="S559" i="20" s="1"/>
  <c r="U559" i="20" s="1"/>
  <c r="O559" i="20"/>
  <c r="Q557" i="20"/>
  <c r="S557" i="20" s="1"/>
  <c r="U557" i="20" s="1"/>
  <c r="S556" i="20"/>
  <c r="U556" i="20" s="1"/>
  <c r="Q556" i="20"/>
  <c r="Q554" i="20"/>
  <c r="S554" i="20" s="1"/>
  <c r="U554" i="20" s="1"/>
  <c r="S553" i="20"/>
  <c r="U553" i="20" s="1"/>
  <c r="Q553" i="20"/>
  <c r="Q551" i="20"/>
  <c r="S551" i="20" s="1"/>
  <c r="U551" i="20" s="1"/>
  <c r="Q550" i="20"/>
  <c r="S550" i="20" s="1"/>
  <c r="U550" i="20" s="1"/>
  <c r="Q548" i="20"/>
  <c r="S548" i="20" s="1"/>
  <c r="U548" i="20" s="1"/>
  <c r="L548" i="20"/>
  <c r="K548" i="20"/>
  <c r="I548" i="20"/>
  <c r="O546" i="20"/>
  <c r="O545" i="20"/>
  <c r="O544" i="20"/>
  <c r="O543" i="20"/>
  <c r="S542" i="20"/>
  <c r="U542" i="20" s="1"/>
  <c r="Q542" i="20"/>
  <c r="O538" i="20"/>
  <c r="O537" i="20"/>
  <c r="Q536" i="20"/>
  <c r="O535" i="20"/>
  <c r="O534" i="20"/>
  <c r="O533" i="20"/>
  <c r="O532" i="20"/>
  <c r="S531" i="20"/>
  <c r="U531" i="20" s="1"/>
  <c r="Q531" i="20"/>
  <c r="O528" i="20"/>
  <c r="O527" i="20"/>
  <c r="Q525" i="20"/>
  <c r="S525" i="20" s="1"/>
  <c r="U525" i="20" s="1"/>
  <c r="M525" i="20"/>
  <c r="L525" i="20"/>
  <c r="K525" i="20"/>
  <c r="I525" i="20"/>
  <c r="S523" i="20"/>
  <c r="U523" i="20" s="1"/>
  <c r="Q523" i="20"/>
  <c r="O522" i="20"/>
  <c r="O521" i="20"/>
  <c r="O520" i="20"/>
  <c r="O519" i="20"/>
  <c r="S518" i="20"/>
  <c r="U518" i="20" s="1"/>
  <c r="Q518" i="20"/>
  <c r="Q513" i="20"/>
  <c r="S513" i="20" s="1"/>
  <c r="U513" i="20" s="1"/>
  <c r="J512" i="20"/>
  <c r="J513" i="20" s="1"/>
  <c r="M511" i="20"/>
  <c r="J511" i="20"/>
  <c r="S510" i="20"/>
  <c r="U510" i="20" s="1"/>
  <c r="Q510" i="20"/>
  <c r="I510" i="20"/>
  <c r="I511" i="20" s="1"/>
  <c r="O508" i="20"/>
  <c r="O507" i="20"/>
  <c r="O506" i="20"/>
  <c r="O505" i="20"/>
  <c r="J505" i="20"/>
  <c r="M505" i="20" s="1"/>
  <c r="Q505" i="20" s="1"/>
  <c r="S505" i="20" s="1"/>
  <c r="U505" i="20" s="1"/>
  <c r="O504" i="20"/>
  <c r="M504" i="20"/>
  <c r="Q504" i="20" s="1"/>
  <c r="S504" i="20" s="1"/>
  <c r="U504" i="20" s="1"/>
  <c r="O503" i="20"/>
  <c r="M503" i="20"/>
  <c r="Q503" i="20" s="1"/>
  <c r="S503" i="20" s="1"/>
  <c r="U503" i="20" s="1"/>
  <c r="Q502" i="20"/>
  <c r="S502" i="20" s="1"/>
  <c r="U502" i="20" s="1"/>
  <c r="S500" i="20"/>
  <c r="U500" i="20" s="1"/>
  <c r="Q500" i="20"/>
  <c r="Q499" i="20"/>
  <c r="S499" i="20" s="1"/>
  <c r="U499" i="20" s="1"/>
  <c r="O497" i="20"/>
  <c r="M497" i="20"/>
  <c r="Q497" i="20" s="1"/>
  <c r="S497" i="20" s="1"/>
  <c r="U497" i="20" s="1"/>
  <c r="Q496" i="20"/>
  <c r="S496" i="20" s="1"/>
  <c r="U496" i="20" s="1"/>
  <c r="S495" i="20"/>
  <c r="U495" i="20" s="1"/>
  <c r="Q495" i="20"/>
  <c r="O493" i="20"/>
  <c r="M493" i="20"/>
  <c r="Q493" i="20" s="1"/>
  <c r="S493" i="20" s="1"/>
  <c r="U493" i="20" s="1"/>
  <c r="O492" i="20"/>
  <c r="M492" i="20"/>
  <c r="Q492" i="20" s="1"/>
  <c r="S492" i="20" s="1"/>
  <c r="U492" i="20" s="1"/>
  <c r="Q490" i="20"/>
  <c r="S490" i="20" s="1"/>
  <c r="U490" i="20" s="1"/>
  <c r="M489" i="20"/>
  <c r="Q489" i="20" s="1"/>
  <c r="S489" i="20" s="1"/>
  <c r="U489" i="20" s="1"/>
  <c r="M487" i="20"/>
  <c r="Q487" i="20" s="1"/>
  <c r="S487" i="20" s="1"/>
  <c r="U487" i="20" s="1"/>
  <c r="O486" i="20"/>
  <c r="M486" i="20"/>
  <c r="Q486" i="20" s="1"/>
  <c r="S486" i="20" s="1"/>
  <c r="U486" i="20" s="1"/>
  <c r="Q485" i="20"/>
  <c r="S485" i="20" s="1"/>
  <c r="U485" i="20" s="1"/>
  <c r="O485" i="20"/>
  <c r="O484" i="20"/>
  <c r="M484" i="20"/>
  <c r="Q484" i="20" s="1"/>
  <c r="S484" i="20" s="1"/>
  <c r="U484" i="20" s="1"/>
  <c r="O483" i="20"/>
  <c r="M483" i="20"/>
  <c r="Q483" i="20" s="1"/>
  <c r="S483" i="20" s="1"/>
  <c r="U483" i="20" s="1"/>
  <c r="Q482" i="20"/>
  <c r="S482" i="20" s="1"/>
  <c r="U482" i="20" s="1"/>
  <c r="O481" i="20"/>
  <c r="M481" i="20"/>
  <c r="Q481" i="20" s="1"/>
  <c r="S481" i="20" s="1"/>
  <c r="U481" i="20" s="1"/>
  <c r="Q480" i="20"/>
  <c r="S480" i="20" s="1"/>
  <c r="U480" i="20" s="1"/>
  <c r="O480" i="20"/>
  <c r="M480" i="20"/>
  <c r="S479" i="20"/>
  <c r="U479" i="20" s="1"/>
  <c r="Q479" i="20"/>
  <c r="Q477" i="20"/>
  <c r="S477" i="20" s="1"/>
  <c r="U477" i="20" s="1"/>
  <c r="S476" i="20"/>
  <c r="U476" i="20" s="1"/>
  <c r="Q476" i="20"/>
  <c r="Q474" i="20"/>
  <c r="S474" i="20" s="1"/>
  <c r="U474" i="20" s="1"/>
  <c r="O474" i="20"/>
  <c r="Q473" i="20"/>
  <c r="S473" i="20" s="1"/>
  <c r="U473" i="20" s="1"/>
  <c r="O473" i="20"/>
  <c r="J471" i="20"/>
  <c r="O471" i="20" s="1"/>
  <c r="Q471" i="20" s="1"/>
  <c r="S471" i="20" s="1"/>
  <c r="U471" i="20" s="1"/>
  <c r="O470" i="20"/>
  <c r="Q470" i="20" s="1"/>
  <c r="S470" i="20" s="1"/>
  <c r="U470" i="20" s="1"/>
  <c r="J470" i="20"/>
  <c r="Q468" i="20"/>
  <c r="S468" i="20" s="1"/>
  <c r="U468" i="20" s="1"/>
  <c r="O468" i="20"/>
  <c r="Q467" i="20"/>
  <c r="S467" i="20" s="1"/>
  <c r="U467" i="20" s="1"/>
  <c r="O467" i="20"/>
  <c r="Q465" i="20"/>
  <c r="S465" i="20" s="1"/>
  <c r="U465" i="20" s="1"/>
  <c r="Q464" i="20"/>
  <c r="S464" i="20" s="1"/>
  <c r="U464" i="20" s="1"/>
  <c r="Q462" i="20"/>
  <c r="S462" i="20" s="1"/>
  <c r="U462" i="20" s="1"/>
  <c r="O460" i="20"/>
  <c r="O459" i="20"/>
  <c r="O458" i="20"/>
  <c r="O457" i="20"/>
  <c r="Q456" i="20"/>
  <c r="S456" i="20" s="1"/>
  <c r="U456" i="20" s="1"/>
  <c r="I453" i="20"/>
  <c r="O452" i="20"/>
  <c r="I452" i="20"/>
  <c r="I451" i="20"/>
  <c r="O451" i="20" s="1"/>
  <c r="O449" i="20"/>
  <c r="O448" i="20"/>
  <c r="O447" i="20"/>
  <c r="O446" i="20"/>
  <c r="S445" i="20"/>
  <c r="U445" i="20" s="1"/>
  <c r="Q445" i="20"/>
  <c r="S443" i="20"/>
  <c r="U443" i="20" s="1"/>
  <c r="Q443" i="20"/>
  <c r="O442" i="20"/>
  <c r="J442" i="20"/>
  <c r="J443" i="20" s="1"/>
  <c r="J445" i="20" s="1"/>
  <c r="J446" i="20" s="1"/>
  <c r="M441" i="20"/>
  <c r="Q441" i="20" s="1"/>
  <c r="S441" i="20" s="1"/>
  <c r="U441" i="20" s="1"/>
  <c r="I441" i="20"/>
  <c r="O441" i="20" s="1"/>
  <c r="S439" i="20"/>
  <c r="U439" i="20" s="1"/>
  <c r="Q439" i="20"/>
  <c r="S437" i="20"/>
  <c r="U437" i="20" s="1"/>
  <c r="Q437" i="20"/>
  <c r="O436" i="20"/>
  <c r="O435" i="20"/>
  <c r="O434" i="20"/>
  <c r="O433" i="20"/>
  <c r="S432" i="20"/>
  <c r="U432" i="20" s="1"/>
  <c r="Q432" i="20"/>
  <c r="O430" i="20"/>
  <c r="O429" i="20"/>
  <c r="S427" i="20"/>
  <c r="U427" i="20" s="1"/>
  <c r="Q427" i="20"/>
  <c r="Q424" i="20"/>
  <c r="S424" i="20" s="1"/>
  <c r="U424" i="20" s="1"/>
  <c r="J420" i="20"/>
  <c r="J421" i="20" s="1"/>
  <c r="M419" i="20"/>
  <c r="J419" i="20"/>
  <c r="I419" i="20"/>
  <c r="O419" i="20" s="1"/>
  <c r="O418" i="20"/>
  <c r="M418" i="20"/>
  <c r="Q418" i="20" s="1"/>
  <c r="S418" i="20" s="1"/>
  <c r="U418" i="20" s="1"/>
  <c r="Q417" i="20"/>
  <c r="S417" i="20" s="1"/>
  <c r="U417" i="20" s="1"/>
  <c r="Q414" i="20"/>
  <c r="S414" i="20" s="1"/>
  <c r="U414" i="20" s="1"/>
  <c r="M414" i="20"/>
  <c r="L414" i="20"/>
  <c r="K414" i="20"/>
  <c r="J414" i="20"/>
  <c r="S413" i="20"/>
  <c r="U413" i="20" s="1"/>
  <c r="Q413" i="20"/>
  <c r="Q411" i="20"/>
  <c r="S411" i="20" s="1"/>
  <c r="U411" i="20" s="1"/>
  <c r="O411" i="20"/>
  <c r="M411" i="20"/>
  <c r="S410" i="20"/>
  <c r="U410" i="20" s="1"/>
  <c r="Q410" i="20"/>
  <c r="Q409" i="20"/>
  <c r="S409" i="20" s="1"/>
  <c r="U409" i="20" s="1"/>
  <c r="S407" i="20"/>
  <c r="U407" i="20" s="1"/>
  <c r="Q407" i="20"/>
  <c r="Q406" i="20"/>
  <c r="S406" i="20" s="1"/>
  <c r="U406" i="20" s="1"/>
  <c r="O406" i="20"/>
  <c r="M406" i="20"/>
  <c r="M405" i="20"/>
  <c r="Q405" i="20" s="1"/>
  <c r="S405" i="20" s="1"/>
  <c r="U405" i="20" s="1"/>
  <c r="Q404" i="20"/>
  <c r="S404" i="20" s="1"/>
  <c r="U404" i="20" s="1"/>
  <c r="M404" i="20"/>
  <c r="O403" i="20"/>
  <c r="J403" i="20"/>
  <c r="M403" i="20" s="1"/>
  <c r="Q403" i="20" s="1"/>
  <c r="S403" i="20" s="1"/>
  <c r="U403" i="20" s="1"/>
  <c r="M402" i="20"/>
  <c r="Q402" i="20" s="1"/>
  <c r="S402" i="20" s="1"/>
  <c r="U402" i="20" s="1"/>
  <c r="O400" i="20"/>
  <c r="O399" i="20"/>
  <c r="O398" i="20"/>
  <c r="O396" i="20"/>
  <c r="O395" i="20"/>
  <c r="O394" i="20"/>
  <c r="Q393" i="20"/>
  <c r="S393" i="20" s="1"/>
  <c r="U393" i="20" s="1"/>
  <c r="S391" i="20"/>
  <c r="U391" i="20" s="1"/>
  <c r="Q391" i="20"/>
  <c r="Q390" i="20"/>
  <c r="S390" i="20" s="1"/>
  <c r="U390" i="20" s="1"/>
  <c r="S389" i="20"/>
  <c r="U389" i="20" s="1"/>
  <c r="Q389" i="20"/>
  <c r="Q387" i="20"/>
  <c r="S387" i="20" s="1"/>
  <c r="U387" i="20" s="1"/>
  <c r="O386" i="20"/>
  <c r="Q386" i="20" s="1"/>
  <c r="S386" i="20" s="1"/>
  <c r="U386" i="20" s="1"/>
  <c r="O385" i="20"/>
  <c r="Q385" i="20" s="1"/>
  <c r="S385" i="20" s="1"/>
  <c r="U385" i="20" s="1"/>
  <c r="S383" i="20"/>
  <c r="U383" i="20" s="1"/>
  <c r="Q383" i="20"/>
  <c r="O382" i="20"/>
  <c r="O381" i="20"/>
  <c r="Q379" i="20"/>
  <c r="S379" i="20" s="1"/>
  <c r="U379" i="20" s="1"/>
  <c r="O378" i="20"/>
  <c r="M378" i="20"/>
  <c r="Q378" i="20" s="1"/>
  <c r="S378" i="20" s="1"/>
  <c r="U378" i="20" s="1"/>
  <c r="J378" i="20"/>
  <c r="J381" i="20" s="1"/>
  <c r="O377" i="20"/>
  <c r="M377" i="20"/>
  <c r="Q377" i="20" s="1"/>
  <c r="S377" i="20" s="1"/>
  <c r="U377" i="20" s="1"/>
  <c r="S375" i="20"/>
  <c r="U375" i="20" s="1"/>
  <c r="Q375" i="20"/>
  <c r="S374" i="20"/>
  <c r="U374" i="20" s="1"/>
  <c r="Q374" i="20"/>
  <c r="S373" i="20"/>
  <c r="U373" i="20" s="1"/>
  <c r="Q373" i="20"/>
  <c r="O371" i="20"/>
  <c r="O370" i="20"/>
  <c r="O369" i="20"/>
  <c r="O368" i="20"/>
  <c r="S367" i="20"/>
  <c r="U367" i="20" s="1"/>
  <c r="Q367" i="20"/>
  <c r="O364" i="20"/>
  <c r="O362" i="20"/>
  <c r="O361" i="20"/>
  <c r="O360" i="20"/>
  <c r="O359" i="20"/>
  <c r="Q358" i="20"/>
  <c r="S358" i="20" s="1"/>
  <c r="U358" i="20" s="1"/>
  <c r="O355" i="20"/>
  <c r="O353" i="20"/>
  <c r="O352" i="20"/>
  <c r="S351" i="20"/>
  <c r="U351" i="20" s="1"/>
  <c r="Q351" i="20"/>
  <c r="O349" i="20"/>
  <c r="O348" i="20"/>
  <c r="O347" i="20"/>
  <c r="I347" i="20"/>
  <c r="I346" i="20"/>
  <c r="O346" i="20" s="1"/>
  <c r="S345" i="20"/>
  <c r="U345" i="20" s="1"/>
  <c r="Q345" i="20"/>
  <c r="O342" i="20"/>
  <c r="O340" i="20"/>
  <c r="O339" i="20"/>
  <c r="I338" i="20"/>
  <c r="O338" i="20" s="1"/>
  <c r="O337" i="20"/>
  <c r="I337" i="20"/>
  <c r="Q336" i="20"/>
  <c r="S336" i="20" s="1"/>
  <c r="U336" i="20" s="1"/>
  <c r="Q335" i="20"/>
  <c r="O333" i="20"/>
  <c r="O331" i="20"/>
  <c r="O330" i="20"/>
  <c r="I329" i="20"/>
  <c r="O329" i="20" s="1"/>
  <c r="O328" i="20"/>
  <c r="I328" i="20"/>
  <c r="Q327" i="20"/>
  <c r="S327" i="20" s="1"/>
  <c r="U327" i="20" s="1"/>
  <c r="O324" i="20"/>
  <c r="O322" i="20"/>
  <c r="M322" i="20"/>
  <c r="Q322" i="20" s="1"/>
  <c r="S322" i="20" s="1"/>
  <c r="U322" i="20" s="1"/>
  <c r="O321" i="20"/>
  <c r="O320" i="20"/>
  <c r="M320" i="20"/>
  <c r="Q320" i="20" s="1"/>
  <c r="S320" i="20" s="1"/>
  <c r="U320" i="20" s="1"/>
  <c r="J320" i="20"/>
  <c r="J321" i="20" s="1"/>
  <c r="O319" i="20"/>
  <c r="M319" i="20"/>
  <c r="Q319" i="20" s="1"/>
  <c r="S319" i="20" s="1"/>
  <c r="U319" i="20" s="1"/>
  <c r="M317" i="20"/>
  <c r="M316" i="20"/>
  <c r="O315" i="20"/>
  <c r="O316" i="20" s="1"/>
  <c r="M315" i="20"/>
  <c r="Q315" i="20" s="1"/>
  <c r="S315" i="20" s="1"/>
  <c r="U315" i="20" s="1"/>
  <c r="Q314" i="20"/>
  <c r="S314" i="20" s="1"/>
  <c r="U314" i="20" s="1"/>
  <c r="M314" i="20"/>
  <c r="Q313" i="20"/>
  <c r="O311" i="20"/>
  <c r="Q311" i="20" s="1"/>
  <c r="S311" i="20" s="1"/>
  <c r="U311" i="20" s="1"/>
  <c r="S310" i="20"/>
  <c r="U310" i="20" s="1"/>
  <c r="Q310" i="20"/>
  <c r="P310" i="20"/>
  <c r="P311" i="20" s="1"/>
  <c r="P312" i="20" s="1"/>
  <c r="O310" i="20"/>
  <c r="Q309" i="20"/>
  <c r="S309" i="20" s="1"/>
  <c r="U309" i="20" s="1"/>
  <c r="I304" i="20"/>
  <c r="O304" i="20" s="1"/>
  <c r="I301" i="20"/>
  <c r="O301" i="20" s="1"/>
  <c r="O300" i="20"/>
  <c r="I300" i="20"/>
  <c r="O299" i="20"/>
  <c r="O297" i="20"/>
  <c r="O296" i="20"/>
  <c r="O295" i="20"/>
  <c r="O294" i="20"/>
  <c r="I290" i="20"/>
  <c r="O290" i="20" s="1"/>
  <c r="O289" i="20"/>
  <c r="Q278" i="20"/>
  <c r="Q273" i="20"/>
  <c r="M272" i="20"/>
  <c r="Q271" i="20"/>
  <c r="S271" i="20" s="1"/>
  <c r="U271" i="20" s="1"/>
  <c r="O271" i="20"/>
  <c r="O272" i="20" s="1"/>
  <c r="Q272" i="20" s="1"/>
  <c r="S272" i="20" s="1"/>
  <c r="U272" i="20" s="1"/>
  <c r="M271" i="20"/>
  <c r="O270" i="20"/>
  <c r="M270" i="20"/>
  <c r="Q270" i="20" s="1"/>
  <c r="S270" i="20" s="1"/>
  <c r="U270" i="20" s="1"/>
  <c r="M269" i="20"/>
  <c r="Q269" i="20" s="1"/>
  <c r="S269" i="20" s="1"/>
  <c r="U269" i="20" s="1"/>
  <c r="N255" i="20"/>
  <c r="N256" i="20" s="1"/>
  <c r="N257" i="20" s="1"/>
  <c r="K252" i="20"/>
  <c r="J252" i="20"/>
  <c r="M252" i="20" s="1"/>
  <c r="K251" i="20"/>
  <c r="K256" i="20" s="1"/>
  <c r="J251" i="20"/>
  <c r="J256" i="20" s="1"/>
  <c r="J261" i="20" s="1"/>
  <c r="J266" i="20" s="1"/>
  <c r="K250" i="20"/>
  <c r="K255" i="20" s="1"/>
  <c r="J250" i="20"/>
  <c r="M250" i="20" s="1"/>
  <c r="K249" i="20"/>
  <c r="K254" i="20" s="1"/>
  <c r="J249" i="20"/>
  <c r="J254" i="20" s="1"/>
  <c r="J259" i="20" s="1"/>
  <c r="J264" i="20" s="1"/>
  <c r="M247" i="20"/>
  <c r="M246" i="20"/>
  <c r="O245" i="20"/>
  <c r="M245" i="20"/>
  <c r="Q245" i="20" s="1"/>
  <c r="S245" i="20" s="1"/>
  <c r="U245" i="20" s="1"/>
  <c r="I245" i="20"/>
  <c r="I246" i="20" s="1"/>
  <c r="O244" i="20"/>
  <c r="M244" i="20"/>
  <c r="Q244" i="20" s="1"/>
  <c r="S244" i="20" s="1"/>
  <c r="U244" i="20" s="1"/>
  <c r="O242" i="20"/>
  <c r="M242" i="20"/>
  <c r="Q242" i="20" s="1"/>
  <c r="S242" i="20" s="1"/>
  <c r="U242" i="20" s="1"/>
  <c r="Q240" i="20"/>
  <c r="S240" i="20" s="1"/>
  <c r="U240" i="20" s="1"/>
  <c r="O240" i="20"/>
  <c r="M240" i="20"/>
  <c r="U239" i="20"/>
  <c r="S239" i="20"/>
  <c r="Q239" i="20"/>
  <c r="J236" i="20"/>
  <c r="I236" i="20"/>
  <c r="K235" i="20"/>
  <c r="K236" i="20" s="1"/>
  <c r="M236" i="20" s="1"/>
  <c r="Q236" i="20" s="1"/>
  <c r="S236" i="20" s="1"/>
  <c r="U236" i="20" s="1"/>
  <c r="J235" i="20"/>
  <c r="I235" i="20"/>
  <c r="M234" i="20"/>
  <c r="Q234" i="20" s="1"/>
  <c r="S234" i="20" s="1"/>
  <c r="U234" i="20" s="1"/>
  <c r="S233" i="20"/>
  <c r="U233" i="20" s="1"/>
  <c r="Q233" i="20"/>
  <c r="Q231" i="20"/>
  <c r="S231" i="20" s="1"/>
  <c r="U231" i="20" s="1"/>
  <c r="Q230" i="20"/>
  <c r="S230" i="20" s="1"/>
  <c r="U230" i="20" s="1"/>
  <c r="Q229" i="20"/>
  <c r="S229" i="20" s="1"/>
  <c r="U229" i="20" s="1"/>
  <c r="I228" i="20"/>
  <c r="I229" i="20" s="1"/>
  <c r="I230" i="20" s="1"/>
  <c r="I231" i="20" s="1"/>
  <c r="K227" i="20"/>
  <c r="K228" i="20" s="1"/>
  <c r="J227" i="20"/>
  <c r="J228" i="20" s="1"/>
  <c r="J229" i="20" s="1"/>
  <c r="J230" i="20" s="1"/>
  <c r="J231" i="20" s="1"/>
  <c r="I227" i="20"/>
  <c r="O227" i="20" s="1"/>
  <c r="O226" i="20"/>
  <c r="Q226" i="20"/>
  <c r="S226" i="20" s="1"/>
  <c r="U226" i="20" s="1"/>
  <c r="Q224" i="20"/>
  <c r="S224" i="20" s="1"/>
  <c r="U224" i="20" s="1"/>
  <c r="U223" i="20"/>
  <c r="S223" i="20"/>
  <c r="Q223" i="20"/>
  <c r="Q222" i="20"/>
  <c r="S222" i="20" s="1"/>
  <c r="U222" i="20" s="1"/>
  <c r="M221" i="20"/>
  <c r="Q221" i="20" s="1"/>
  <c r="S221" i="20" s="1"/>
  <c r="U221" i="20" s="1"/>
  <c r="O220" i="20"/>
  <c r="J220" i="20"/>
  <c r="M220" i="20" s="1"/>
  <c r="Q220" i="20" s="1"/>
  <c r="S220" i="20" s="1"/>
  <c r="U220" i="20" s="1"/>
  <c r="O219" i="20"/>
  <c r="Q219" i="20" s="1"/>
  <c r="S219" i="20" s="1"/>
  <c r="U219" i="20" s="1"/>
  <c r="M219" i="20"/>
  <c r="O217" i="20"/>
  <c r="M217" i="20"/>
  <c r="Q217" i="20" s="1"/>
  <c r="S217" i="20" s="1"/>
  <c r="U217" i="20" s="1"/>
  <c r="Q216" i="20"/>
  <c r="S216" i="20" s="1"/>
  <c r="U216" i="20" s="1"/>
  <c r="M216" i="20"/>
  <c r="M215" i="20"/>
  <c r="Q215" i="20" s="1"/>
  <c r="S215" i="20" s="1"/>
  <c r="U215" i="20" s="1"/>
  <c r="Q214" i="20"/>
  <c r="S214" i="20" s="1"/>
  <c r="U214" i="20" s="1"/>
  <c r="M214" i="20"/>
  <c r="S212" i="20"/>
  <c r="U212" i="20" s="1"/>
  <c r="Q212" i="20"/>
  <c r="M212" i="20"/>
  <c r="M211" i="20"/>
  <c r="Q211" i="20" s="1"/>
  <c r="S211" i="20" s="1"/>
  <c r="U211" i="20" s="1"/>
  <c r="Q210" i="20"/>
  <c r="S210" i="20" s="1"/>
  <c r="U210" i="20" s="1"/>
  <c r="M210" i="20"/>
  <c r="M209" i="20"/>
  <c r="Q209" i="20" s="1"/>
  <c r="S209" i="20" s="1"/>
  <c r="U209" i="20" s="1"/>
  <c r="O207" i="20"/>
  <c r="M207" i="20"/>
  <c r="Q207" i="20" s="1"/>
  <c r="S207" i="20" s="1"/>
  <c r="U207" i="20" s="1"/>
  <c r="Q206" i="20"/>
  <c r="S206" i="20" s="1"/>
  <c r="U206" i="20" s="1"/>
  <c r="Q204" i="20"/>
  <c r="S204" i="20" s="1"/>
  <c r="U204" i="20" s="1"/>
  <c r="Q202" i="20"/>
  <c r="S202" i="20" s="1"/>
  <c r="U202" i="20" s="1"/>
  <c r="M202" i="20"/>
  <c r="M201" i="20"/>
  <c r="Q201" i="20" s="1"/>
  <c r="S201" i="20" s="1"/>
  <c r="U201" i="20" s="1"/>
  <c r="Q199" i="20"/>
  <c r="S199" i="20" s="1"/>
  <c r="U199" i="20" s="1"/>
  <c r="Q198" i="20"/>
  <c r="S198" i="20" s="1"/>
  <c r="U198" i="20" s="1"/>
  <c r="Q197" i="20"/>
  <c r="S197" i="20" s="1"/>
  <c r="U197" i="20" s="1"/>
  <c r="S195" i="20"/>
  <c r="U195" i="20" s="1"/>
  <c r="Q195" i="20"/>
  <c r="Q194" i="20"/>
  <c r="S194" i="20" s="1"/>
  <c r="U194" i="20" s="1"/>
  <c r="S193" i="20"/>
  <c r="U193" i="20" s="1"/>
  <c r="Q193" i="20"/>
  <c r="Q192" i="20"/>
  <c r="S192" i="20" s="1"/>
  <c r="U192" i="20" s="1"/>
  <c r="M191" i="20"/>
  <c r="Q191" i="20" s="1"/>
  <c r="S191" i="20" s="1"/>
  <c r="U191" i="20" s="1"/>
  <c r="O189" i="20"/>
  <c r="Q189" i="20" s="1"/>
  <c r="S189" i="20" s="1"/>
  <c r="U189" i="20" s="1"/>
  <c r="M189" i="20"/>
  <c r="Q188" i="20"/>
  <c r="S188" i="20" s="1"/>
  <c r="U188" i="20" s="1"/>
  <c r="S186" i="20"/>
  <c r="U186" i="20" s="1"/>
  <c r="Q186" i="20"/>
  <c r="S184" i="20"/>
  <c r="U184" i="20" s="1"/>
  <c r="Q184" i="20"/>
  <c r="M183" i="20"/>
  <c r="Q183" i="20" s="1"/>
  <c r="S183" i="20" s="1"/>
  <c r="U183" i="20" s="1"/>
  <c r="S181" i="20"/>
  <c r="U181" i="20" s="1"/>
  <c r="Q181" i="20"/>
  <c r="Q180" i="20"/>
  <c r="S180" i="20" s="1"/>
  <c r="U180" i="20" s="1"/>
  <c r="M179" i="20"/>
  <c r="Q179" i="20" s="1"/>
  <c r="S179" i="20" s="1"/>
  <c r="U179" i="20" s="1"/>
  <c r="Q176" i="20"/>
  <c r="S176" i="20" s="1"/>
  <c r="U176" i="20" s="1"/>
  <c r="M176" i="20"/>
  <c r="M175" i="20"/>
  <c r="Q175" i="20" s="1"/>
  <c r="S175" i="20" s="1"/>
  <c r="U175" i="20" s="1"/>
  <c r="M174" i="20"/>
  <c r="Q174" i="20" s="1"/>
  <c r="S174" i="20" s="1"/>
  <c r="U174" i="20" s="1"/>
  <c r="M173" i="20"/>
  <c r="Q173" i="20" s="1"/>
  <c r="S173" i="20" s="1"/>
  <c r="U173" i="20" s="1"/>
  <c r="M171" i="20"/>
  <c r="Q171" i="20" s="1"/>
  <c r="S171" i="20" s="1"/>
  <c r="U171" i="20" s="1"/>
  <c r="M170" i="20"/>
  <c r="Q170" i="20" s="1"/>
  <c r="S170" i="20" s="1"/>
  <c r="U170" i="20" s="1"/>
  <c r="M168" i="20"/>
  <c r="Q168" i="20" s="1"/>
  <c r="S168" i="20" s="1"/>
  <c r="U168" i="20" s="1"/>
  <c r="M167" i="20"/>
  <c r="Q167" i="20" s="1"/>
  <c r="S167" i="20" s="1"/>
  <c r="U167" i="20" s="1"/>
  <c r="M166" i="20"/>
  <c r="Q166" i="20" s="1"/>
  <c r="S166" i="20" s="1"/>
  <c r="U166" i="20" s="1"/>
  <c r="Q165" i="20"/>
  <c r="S165" i="20" s="1"/>
  <c r="U165" i="20" s="1"/>
  <c r="S163" i="20"/>
  <c r="U163" i="20" s="1"/>
  <c r="Q163" i="20"/>
  <c r="M163" i="20"/>
  <c r="M162" i="20"/>
  <c r="Q162" i="20" s="1"/>
  <c r="S162" i="20" s="1"/>
  <c r="U162" i="20" s="1"/>
  <c r="Q161" i="20"/>
  <c r="S161" i="20" s="1"/>
  <c r="U161" i="20" s="1"/>
  <c r="M161" i="20"/>
  <c r="Q160" i="20"/>
  <c r="S160" i="20" s="1"/>
  <c r="U160" i="20" s="1"/>
  <c r="M158" i="20"/>
  <c r="Q158" i="20" s="1"/>
  <c r="S158" i="20" s="1"/>
  <c r="U158" i="20" s="1"/>
  <c r="M157" i="20"/>
  <c r="Q157" i="20" s="1"/>
  <c r="S157" i="20" s="1"/>
  <c r="U157" i="20" s="1"/>
  <c r="Q156" i="20"/>
  <c r="S156" i="20" s="1"/>
  <c r="U156" i="20" s="1"/>
  <c r="M156" i="20"/>
  <c r="M155" i="20"/>
  <c r="Q155" i="20" s="1"/>
  <c r="S155" i="20" s="1"/>
  <c r="U155" i="20" s="1"/>
  <c r="Q154" i="20"/>
  <c r="S154" i="20" s="1"/>
  <c r="U154" i="20" s="1"/>
  <c r="M154" i="20"/>
  <c r="M153" i="20"/>
  <c r="Q153" i="20" s="1"/>
  <c r="S153" i="20" s="1"/>
  <c r="U153" i="20" s="1"/>
  <c r="M152" i="20"/>
  <c r="Q152" i="20" s="1"/>
  <c r="S152" i="20" s="1"/>
  <c r="U152" i="20" s="1"/>
  <c r="M151" i="20"/>
  <c r="Q151" i="20" s="1"/>
  <c r="S151" i="20" s="1"/>
  <c r="U151" i="20" s="1"/>
  <c r="M150" i="20"/>
  <c r="Q150" i="20" s="1"/>
  <c r="S150" i="20" s="1"/>
  <c r="U150" i="20" s="1"/>
  <c r="M149" i="20"/>
  <c r="Q149" i="20" s="1"/>
  <c r="S149" i="20" s="1"/>
  <c r="U149" i="20" s="1"/>
  <c r="M148" i="20"/>
  <c r="Q148" i="20" s="1"/>
  <c r="S148" i="20" s="1"/>
  <c r="U148" i="20" s="1"/>
  <c r="M147" i="20"/>
  <c r="Q147" i="20" s="1"/>
  <c r="S147" i="20" s="1"/>
  <c r="U147" i="20" s="1"/>
  <c r="Q146" i="20"/>
  <c r="S146" i="20" s="1"/>
  <c r="U146" i="20" s="1"/>
  <c r="Q145" i="20"/>
  <c r="S145" i="20" s="1"/>
  <c r="U145" i="20" s="1"/>
  <c r="O143" i="20"/>
  <c r="Q143" i="20" s="1"/>
  <c r="S143" i="20" s="1"/>
  <c r="U143" i="20" s="1"/>
  <c r="S142" i="20"/>
  <c r="U142" i="20" s="1"/>
  <c r="Q142" i="20"/>
  <c r="O141" i="20"/>
  <c r="Q141" i="20" s="1"/>
  <c r="S141" i="20" s="1"/>
  <c r="U141" i="20" s="1"/>
  <c r="Q140" i="20"/>
  <c r="S140" i="20" s="1"/>
  <c r="U140" i="20" s="1"/>
  <c r="O138" i="20"/>
  <c r="M137" i="20"/>
  <c r="K137" i="20"/>
  <c r="J137" i="20"/>
  <c r="I137" i="20"/>
  <c r="O137" i="20" s="1"/>
  <c r="K136" i="20"/>
  <c r="J136" i="20"/>
  <c r="M136" i="20" s="1"/>
  <c r="Q136" i="20" s="1"/>
  <c r="S136" i="20" s="1"/>
  <c r="U136" i="20" s="1"/>
  <c r="K135" i="20"/>
  <c r="J135" i="20"/>
  <c r="M135" i="20" s="1"/>
  <c r="I135" i="20"/>
  <c r="Q133" i="20"/>
  <c r="S133" i="20" s="1"/>
  <c r="U133" i="20" s="1"/>
  <c r="M133" i="20"/>
  <c r="M132" i="20"/>
  <c r="Q132" i="20" s="1"/>
  <c r="S132" i="20" s="1"/>
  <c r="U132" i="20" s="1"/>
  <c r="I132" i="20"/>
  <c r="I136" i="20" s="1"/>
  <c r="M131" i="20"/>
  <c r="Q131" i="20" s="1"/>
  <c r="S131" i="20" s="1"/>
  <c r="U131" i="20" s="1"/>
  <c r="Q130" i="20"/>
  <c r="S130" i="20" s="1"/>
  <c r="U130" i="20" s="1"/>
  <c r="Q127" i="20"/>
  <c r="S127" i="20" s="1"/>
  <c r="U127" i="20" s="1"/>
  <c r="J126" i="20"/>
  <c r="M126" i="20" s="1"/>
  <c r="Q126" i="20" s="1"/>
  <c r="S126" i="20" s="1"/>
  <c r="U126" i="20" s="1"/>
  <c r="J125" i="20"/>
  <c r="M125" i="20" s="1"/>
  <c r="Q125" i="20" s="1"/>
  <c r="S125" i="20" s="1"/>
  <c r="U125" i="20" s="1"/>
  <c r="S123" i="20"/>
  <c r="U123" i="20" s="1"/>
  <c r="Q123" i="20"/>
  <c r="Q122" i="20"/>
  <c r="S122" i="20" s="1"/>
  <c r="U122" i="20" s="1"/>
  <c r="Q121" i="20"/>
  <c r="S121" i="20" s="1"/>
  <c r="U121" i="20" s="1"/>
  <c r="Q119" i="20"/>
  <c r="S119" i="20" s="1"/>
  <c r="U119" i="20" s="1"/>
  <c r="S118" i="20"/>
  <c r="U118" i="20" s="1"/>
  <c r="Q118" i="20"/>
  <c r="Q117" i="20"/>
  <c r="S117" i="20" s="1"/>
  <c r="U117" i="20" s="1"/>
  <c r="Q115" i="20"/>
  <c r="S115" i="20" s="1"/>
  <c r="U115" i="20" s="1"/>
  <c r="Q114" i="20"/>
  <c r="O113" i="20"/>
  <c r="M113" i="20"/>
  <c r="Q113" i="20" s="1"/>
  <c r="S113" i="20" s="1"/>
  <c r="U113" i="20" s="1"/>
  <c r="S111" i="20"/>
  <c r="U111" i="20" s="1"/>
  <c r="Q111" i="20"/>
  <c r="Q110" i="20"/>
  <c r="S110" i="20" s="1"/>
  <c r="U110" i="20" s="1"/>
  <c r="I110" i="20"/>
  <c r="I122" i="20" s="1"/>
  <c r="Q109" i="20"/>
  <c r="S109" i="20" s="1"/>
  <c r="U109" i="20" s="1"/>
  <c r="I109" i="20"/>
  <c r="I121" i="20" s="1"/>
  <c r="Q107" i="20"/>
  <c r="Q106" i="20"/>
  <c r="K106" i="20"/>
  <c r="K107" i="20" s="1"/>
  <c r="I106" i="20"/>
  <c r="I118" i="20" s="1"/>
  <c r="S105" i="20"/>
  <c r="U105" i="20" s="1"/>
  <c r="Q105" i="20"/>
  <c r="K105" i="20"/>
  <c r="I105" i="20"/>
  <c r="I117" i="20" s="1"/>
  <c r="K102" i="20"/>
  <c r="K103" i="20" s="1"/>
  <c r="M103" i="20" s="1"/>
  <c r="Q103" i="20" s="1"/>
  <c r="I102" i="20"/>
  <c r="I114" i="20" s="1"/>
  <c r="M101" i="20"/>
  <c r="Q101" i="20" s="1"/>
  <c r="K101" i="20"/>
  <c r="I101" i="20"/>
  <c r="K99" i="20"/>
  <c r="M99" i="20" s="1"/>
  <c r="Q99" i="20" s="1"/>
  <c r="S99" i="20" s="1"/>
  <c r="U99" i="20" s="1"/>
  <c r="Q98" i="20"/>
  <c r="S98" i="20" s="1"/>
  <c r="U98" i="20" s="1"/>
  <c r="M98" i="20"/>
  <c r="M97" i="20"/>
  <c r="Q97" i="20" s="1"/>
  <c r="S97" i="20" s="1"/>
  <c r="U97" i="20" s="1"/>
  <c r="Q95" i="20"/>
  <c r="S95" i="20" s="1"/>
  <c r="U95" i="20" s="1"/>
  <c r="J94" i="20"/>
  <c r="J98" i="20" s="1"/>
  <c r="J93" i="20"/>
  <c r="J97" i="20" s="1"/>
  <c r="S91" i="20"/>
  <c r="U91" i="20" s="1"/>
  <c r="Q91" i="20"/>
  <c r="Q90" i="20"/>
  <c r="S90" i="20" s="1"/>
  <c r="U90" i="20" s="1"/>
  <c r="Q89" i="20"/>
  <c r="S89" i="20" s="1"/>
  <c r="U89" i="20" s="1"/>
  <c r="Q87" i="20"/>
  <c r="S87" i="20" s="1"/>
  <c r="U87" i="20" s="1"/>
  <c r="S86" i="20"/>
  <c r="U86" i="20" s="1"/>
  <c r="Q86" i="20"/>
  <c r="Q85" i="20"/>
  <c r="S85" i="20" s="1"/>
  <c r="U85" i="20" s="1"/>
  <c r="Q83" i="20"/>
  <c r="S83" i="20" s="1"/>
  <c r="U83" i="20" s="1"/>
  <c r="Q82" i="20"/>
  <c r="O81" i="20"/>
  <c r="M81" i="20"/>
  <c r="Q81" i="20" s="1"/>
  <c r="S81" i="20" s="1"/>
  <c r="U81" i="20" s="1"/>
  <c r="S79" i="20"/>
  <c r="U79" i="20" s="1"/>
  <c r="Q79" i="20"/>
  <c r="Q78" i="20"/>
  <c r="S78" i="20" s="1"/>
  <c r="U78" i="20" s="1"/>
  <c r="I78" i="20"/>
  <c r="I90" i="20" s="1"/>
  <c r="Q77" i="20"/>
  <c r="S77" i="20" s="1"/>
  <c r="U77" i="20" s="1"/>
  <c r="I77" i="20"/>
  <c r="I89" i="20" s="1"/>
  <c r="Q75" i="20"/>
  <c r="Q74" i="20"/>
  <c r="K74" i="20"/>
  <c r="K75" i="20" s="1"/>
  <c r="I74" i="20"/>
  <c r="I86" i="20" s="1"/>
  <c r="S73" i="20"/>
  <c r="U73" i="20" s="1"/>
  <c r="Q73" i="20"/>
  <c r="K73" i="20"/>
  <c r="I73" i="20"/>
  <c r="I85" i="20" s="1"/>
  <c r="M70" i="20"/>
  <c r="Q70" i="20" s="1"/>
  <c r="K70" i="20"/>
  <c r="K71" i="20" s="1"/>
  <c r="M71" i="20" s="1"/>
  <c r="Q71" i="20" s="1"/>
  <c r="I70" i="20"/>
  <c r="I82" i="20" s="1"/>
  <c r="M69" i="20"/>
  <c r="Q69" i="20" s="1"/>
  <c r="K69" i="20"/>
  <c r="I69" i="20"/>
  <c r="M67" i="20"/>
  <c r="Q67" i="20" s="1"/>
  <c r="S67" i="20" s="1"/>
  <c r="U67" i="20" s="1"/>
  <c r="K67" i="20"/>
  <c r="Q66" i="20"/>
  <c r="S66" i="20" s="1"/>
  <c r="U66" i="20" s="1"/>
  <c r="M66" i="20"/>
  <c r="Q65" i="20"/>
  <c r="S65" i="20" s="1"/>
  <c r="U65" i="20" s="1"/>
  <c r="M65" i="20"/>
  <c r="O62" i="20"/>
  <c r="Q62" i="20" s="1"/>
  <c r="S62" i="20" s="1"/>
  <c r="U62" i="20" s="1"/>
  <c r="O61" i="20"/>
  <c r="I61" i="20"/>
  <c r="Q60" i="20"/>
  <c r="S60" i="20" s="1"/>
  <c r="U60" i="20" s="1"/>
  <c r="I60" i="20"/>
  <c r="Q59" i="20"/>
  <c r="S59" i="20" s="1"/>
  <c r="U59" i="20" s="1"/>
  <c r="I59" i="20"/>
  <c r="O58" i="20"/>
  <c r="I58" i="20"/>
  <c r="O57" i="20"/>
  <c r="J57" i="20"/>
  <c r="J58" i="20" s="1"/>
  <c r="I57" i="20"/>
  <c r="Q55" i="20"/>
  <c r="S55" i="20" s="1"/>
  <c r="U55" i="20" s="1"/>
  <c r="I55" i="20"/>
  <c r="S54" i="20"/>
  <c r="U54" i="20" s="1"/>
  <c r="Q54" i="20"/>
  <c r="O51" i="20"/>
  <c r="I51" i="20"/>
  <c r="Q50" i="20"/>
  <c r="S50" i="20" s="1"/>
  <c r="U50" i="20" s="1"/>
  <c r="I50" i="20"/>
  <c r="S49" i="20"/>
  <c r="U49" i="20" s="1"/>
  <c r="Q49" i="20"/>
  <c r="I49" i="20"/>
  <c r="O48" i="20"/>
  <c r="J48" i="20"/>
  <c r="J51" i="20" s="1"/>
  <c r="M51" i="20" s="1"/>
  <c r="Q51" i="20" s="1"/>
  <c r="S51" i="20" s="1"/>
  <c r="U51" i="20" s="1"/>
  <c r="I48" i="20"/>
  <c r="O47" i="20"/>
  <c r="I47" i="20"/>
  <c r="M47" i="20" s="1"/>
  <c r="Q47" i="20" s="1"/>
  <c r="S47" i="20" s="1"/>
  <c r="U47" i="20" s="1"/>
  <c r="Q45" i="20"/>
  <c r="S45" i="20" s="1"/>
  <c r="U45" i="20" s="1"/>
  <c r="I45" i="20"/>
  <c r="S44" i="20"/>
  <c r="U44" i="20" s="1"/>
  <c r="Q44" i="20"/>
  <c r="O41" i="20"/>
  <c r="O40" i="20"/>
  <c r="J40" i="20"/>
  <c r="J41" i="20" s="1"/>
  <c r="O39" i="20"/>
  <c r="M39" i="20"/>
  <c r="Q39" i="20" s="1"/>
  <c r="S39" i="20" s="1"/>
  <c r="U39" i="20" s="1"/>
  <c r="U38" i="20"/>
  <c r="S38" i="20"/>
  <c r="Q38" i="20"/>
  <c r="Q37" i="20"/>
  <c r="S37" i="20" s="1"/>
  <c r="U37" i="20" s="1"/>
  <c r="U36" i="20"/>
  <c r="S36" i="20"/>
  <c r="Q36" i="20"/>
  <c r="Q35" i="20"/>
  <c r="S35" i="20" s="1"/>
  <c r="U35" i="20" s="1"/>
  <c r="U34" i="20"/>
  <c r="S34" i="20"/>
  <c r="Q34" i="20"/>
  <c r="Q33" i="20"/>
  <c r="S33" i="20" s="1"/>
  <c r="U33" i="20" s="1"/>
  <c r="U32" i="20"/>
  <c r="S32" i="20"/>
  <c r="Q32" i="20"/>
  <c r="Q31" i="20"/>
  <c r="S31" i="20" s="1"/>
  <c r="U31" i="20" s="1"/>
  <c r="O30" i="20"/>
  <c r="M30" i="20"/>
  <c r="Q30" i="20" s="1"/>
  <c r="S30" i="20" s="1"/>
  <c r="U30" i="20" s="1"/>
  <c r="J30" i="20"/>
  <c r="J31" i="20" s="1"/>
  <c r="J32" i="20" s="1"/>
  <c r="J33" i="20" s="1"/>
  <c r="J34" i="20" s="1"/>
  <c r="J35" i="20" s="1"/>
  <c r="J36" i="20" s="1"/>
  <c r="J37" i="20" s="1"/>
  <c r="J38" i="20" s="1"/>
  <c r="U29" i="20"/>
  <c r="S29" i="20"/>
  <c r="O28" i="20"/>
  <c r="M28" i="20"/>
  <c r="Q28" i="20" s="1"/>
  <c r="S28" i="20" s="1"/>
  <c r="U28" i="20" s="1"/>
  <c r="S27" i="20"/>
  <c r="U27" i="20" s="1"/>
  <c r="Q27" i="20"/>
  <c r="D2" i="20"/>
  <c r="D3" i="20" s="1"/>
  <c r="C1" i="20"/>
  <c r="J421" i="24" l="1"/>
  <c r="M420" i="24"/>
  <c r="M419" i="24"/>
  <c r="Q418" i="24"/>
  <c r="S418" i="24" s="1"/>
  <c r="U418" i="24" s="1"/>
  <c r="O419" i="24"/>
  <c r="J404" i="24"/>
  <c r="J405" i="24" s="1"/>
  <c r="Q319" i="24"/>
  <c r="S319" i="24" s="1"/>
  <c r="U319" i="24" s="1"/>
  <c r="Q244" i="24"/>
  <c r="S244" i="24" s="1"/>
  <c r="U244" i="24" s="1"/>
  <c r="M251" i="24"/>
  <c r="Q242" i="24"/>
  <c r="S242" i="24" s="1"/>
  <c r="U242" i="24" s="1"/>
  <c r="Q240" i="24"/>
  <c r="S240" i="24" s="1"/>
  <c r="U240" i="24" s="1"/>
  <c r="Q226" i="24"/>
  <c r="S226" i="24" s="1"/>
  <c r="U226" i="24" s="1"/>
  <c r="Q220" i="24"/>
  <c r="S220" i="24" s="1"/>
  <c r="U220" i="24" s="1"/>
  <c r="M93" i="24"/>
  <c r="Q93" i="24" s="1"/>
  <c r="S93" i="24" s="1"/>
  <c r="U93" i="24" s="1"/>
  <c r="G32" i="18"/>
  <c r="G33" i="18" s="1"/>
  <c r="I32" i="18"/>
  <c r="I33" i="18" s="1"/>
  <c r="G46" i="18"/>
  <c r="G47" i="18" s="1"/>
  <c r="Q30" i="24"/>
  <c r="S30" i="24" s="1"/>
  <c r="U30" i="24" s="1"/>
  <c r="Q28" i="24"/>
  <c r="S28" i="24" s="1"/>
  <c r="U28" i="24" s="1"/>
  <c r="M40" i="24"/>
  <c r="Q40" i="24" s="1"/>
  <c r="S40" i="24" s="1"/>
  <c r="U40" i="24" s="1"/>
  <c r="M41" i="24"/>
  <c r="Q41" i="24" s="1"/>
  <c r="S41" i="24" s="1"/>
  <c r="U41" i="24" s="1"/>
  <c r="J61" i="24"/>
  <c r="M61" i="24" s="1"/>
  <c r="Q61" i="24" s="1"/>
  <c r="S61" i="24" s="1"/>
  <c r="U61" i="24" s="1"/>
  <c r="M58" i="24"/>
  <c r="Q58" i="24" s="1"/>
  <c r="S58" i="24" s="1"/>
  <c r="U58" i="24" s="1"/>
  <c r="C3" i="24"/>
  <c r="M57" i="24"/>
  <c r="Q57" i="24" s="1"/>
  <c r="S57" i="24" s="1"/>
  <c r="U57" i="24" s="1"/>
  <c r="Q113" i="24"/>
  <c r="S113" i="24" s="1"/>
  <c r="U113" i="24" s="1"/>
  <c r="Q135" i="24"/>
  <c r="S135" i="24" s="1"/>
  <c r="U135" i="24" s="1"/>
  <c r="O227" i="24"/>
  <c r="M71" i="24"/>
  <c r="Q71" i="24" s="1"/>
  <c r="M103" i="24"/>
  <c r="Q103" i="24" s="1"/>
  <c r="M102" i="24"/>
  <c r="Q102" i="24" s="1"/>
  <c r="M137" i="24"/>
  <c r="Q137" i="24" s="1"/>
  <c r="S137" i="24" s="1"/>
  <c r="U137" i="24" s="1"/>
  <c r="Q207" i="24"/>
  <c r="S207" i="24" s="1"/>
  <c r="U207" i="24" s="1"/>
  <c r="J31" i="24"/>
  <c r="J32" i="24" s="1"/>
  <c r="J33" i="24" s="1"/>
  <c r="J34" i="24" s="1"/>
  <c r="J35" i="24" s="1"/>
  <c r="J36" i="24" s="1"/>
  <c r="J37" i="24" s="1"/>
  <c r="J38" i="24" s="1"/>
  <c r="F64" i="24"/>
  <c r="J221" i="24"/>
  <c r="J222" i="24" s="1"/>
  <c r="J223" i="24" s="1"/>
  <c r="J224" i="24" s="1"/>
  <c r="J269" i="24"/>
  <c r="J274" i="24" s="1"/>
  <c r="M264" i="24"/>
  <c r="D4" i="24"/>
  <c r="J98" i="24"/>
  <c r="M94" i="24"/>
  <c r="Q94" i="24" s="1"/>
  <c r="S94" i="24" s="1"/>
  <c r="U94" i="24" s="1"/>
  <c r="K229" i="24"/>
  <c r="K230" i="24" s="1"/>
  <c r="K231" i="24" s="1"/>
  <c r="M228" i="24"/>
  <c r="Q228" i="24" s="1"/>
  <c r="S228" i="24" s="1"/>
  <c r="U228" i="24" s="1"/>
  <c r="Q245" i="24"/>
  <c r="S245" i="24" s="1"/>
  <c r="U245" i="24" s="1"/>
  <c r="J271" i="24"/>
  <c r="J276" i="24" s="1"/>
  <c r="M266" i="24"/>
  <c r="J255" i="24"/>
  <c r="J260" i="24" s="1"/>
  <c r="J265" i="24" s="1"/>
  <c r="J257" i="24"/>
  <c r="J262" i="24" s="1"/>
  <c r="J267" i="24" s="1"/>
  <c r="O300" i="24"/>
  <c r="I307" i="24"/>
  <c r="J381" i="24"/>
  <c r="O301" i="24"/>
  <c r="I421" i="24"/>
  <c r="O420" i="24"/>
  <c r="Q420" i="24" s="1"/>
  <c r="S420" i="24" s="1"/>
  <c r="U420" i="24" s="1"/>
  <c r="J422" i="24"/>
  <c r="M421" i="24"/>
  <c r="M227" i="24"/>
  <c r="M235" i="24"/>
  <c r="Q235" i="24" s="1"/>
  <c r="S235" i="24" s="1"/>
  <c r="U235" i="24" s="1"/>
  <c r="Q316" i="24"/>
  <c r="S316" i="24" s="1"/>
  <c r="U316" i="24" s="1"/>
  <c r="J321" i="24"/>
  <c r="Q310" i="24"/>
  <c r="S310" i="24" s="1"/>
  <c r="U310" i="24" s="1"/>
  <c r="O311" i="24"/>
  <c r="Q317" i="24"/>
  <c r="S317" i="24" s="1"/>
  <c r="U317" i="24" s="1"/>
  <c r="Q516" i="24"/>
  <c r="S516" i="24" s="1"/>
  <c r="U516" i="24" s="1"/>
  <c r="J443" i="24"/>
  <c r="J445" i="24" s="1"/>
  <c r="J446" i="24" s="1"/>
  <c r="J506" i="24"/>
  <c r="O516" i="24"/>
  <c r="I582" i="24"/>
  <c r="O580" i="24"/>
  <c r="Q580" i="24" s="1"/>
  <c r="S580" i="24" s="1"/>
  <c r="U580" i="24" s="1"/>
  <c r="I583" i="24"/>
  <c r="J588" i="24"/>
  <c r="M658" i="24"/>
  <c r="Q658" i="24" s="1"/>
  <c r="S658" i="24" s="1"/>
  <c r="U658" i="24" s="1"/>
  <c r="J661" i="24"/>
  <c r="J662" i="24" s="1"/>
  <c r="Q483" i="24"/>
  <c r="S483" i="24" s="1"/>
  <c r="U483" i="24" s="1"/>
  <c r="J518" i="24"/>
  <c r="J519" i="24" s="1"/>
  <c r="Q481" i="24"/>
  <c r="S481" i="24" s="1"/>
  <c r="U481" i="24" s="1"/>
  <c r="Q486" i="24"/>
  <c r="S486" i="24" s="1"/>
  <c r="U486" i="24" s="1"/>
  <c r="Q492" i="24"/>
  <c r="S492" i="24" s="1"/>
  <c r="U492" i="24" s="1"/>
  <c r="Q512" i="24"/>
  <c r="S512" i="24" s="1"/>
  <c r="U512" i="24" s="1"/>
  <c r="J573" i="24"/>
  <c r="J565" i="24"/>
  <c r="Q594" i="24"/>
  <c r="S594" i="24" s="1"/>
  <c r="U594" i="24" s="1"/>
  <c r="J678" i="24"/>
  <c r="M678" i="24" s="1"/>
  <c r="Q678" i="24" s="1"/>
  <c r="S678" i="24" s="1"/>
  <c r="U678" i="24" s="1"/>
  <c r="M675" i="24"/>
  <c r="Q675" i="24" s="1"/>
  <c r="S675" i="24" s="1"/>
  <c r="U675" i="24" s="1"/>
  <c r="M569" i="24"/>
  <c r="Q569" i="24" s="1"/>
  <c r="S569" i="24" s="1"/>
  <c r="U569" i="24" s="1"/>
  <c r="J570" i="24"/>
  <c r="M570" i="24" s="1"/>
  <c r="Q570" i="24" s="1"/>
  <c r="S570" i="24" s="1"/>
  <c r="U570" i="24" s="1"/>
  <c r="M755" i="24"/>
  <c r="Q755" i="24" s="1"/>
  <c r="S755" i="24" s="1"/>
  <c r="U755" i="24" s="1"/>
  <c r="Q752" i="24"/>
  <c r="S752" i="24" s="1"/>
  <c r="U752" i="24" s="1"/>
  <c r="M674" i="24"/>
  <c r="Q674" i="24" s="1"/>
  <c r="S674" i="24" s="1"/>
  <c r="U674" i="24" s="1"/>
  <c r="M687" i="24"/>
  <c r="Q687" i="24" s="1"/>
  <c r="M711" i="24"/>
  <c r="Q711" i="24" s="1"/>
  <c r="S711" i="24" s="1"/>
  <c r="U711" i="24" s="1"/>
  <c r="M719" i="24"/>
  <c r="Q719" i="24" s="1"/>
  <c r="K846" i="24"/>
  <c r="K847" i="24" s="1"/>
  <c r="K848" i="24" s="1"/>
  <c r="M845" i="24"/>
  <c r="Q845" i="24" s="1"/>
  <c r="S845" i="24" s="1"/>
  <c r="U845" i="24" s="1"/>
  <c r="I864" i="24"/>
  <c r="O863" i="24"/>
  <c r="Q863" i="24" s="1"/>
  <c r="S863" i="24" s="1"/>
  <c r="U863" i="24" s="1"/>
  <c r="M881" i="24"/>
  <c r="J886" i="24"/>
  <c r="J891" i="24" s="1"/>
  <c r="M511" i="24"/>
  <c r="Q511" i="24" s="1"/>
  <c r="S511" i="24" s="1"/>
  <c r="U511" i="24" s="1"/>
  <c r="M710" i="24"/>
  <c r="Q710" i="24" s="1"/>
  <c r="S710" i="24" s="1"/>
  <c r="U710" i="24" s="1"/>
  <c r="J889" i="24"/>
  <c r="J894" i="24" s="1"/>
  <c r="M884" i="24"/>
  <c r="M882" i="24"/>
  <c r="J887" i="24"/>
  <c r="J892" i="24" s="1"/>
  <c r="J888" i="24"/>
  <c r="J893" i="24" s="1"/>
  <c r="M883" i="24"/>
  <c r="M837" i="24"/>
  <c r="Q837" i="24" s="1"/>
  <c r="S837" i="24" s="1"/>
  <c r="U837" i="24" s="1"/>
  <c r="M844" i="24"/>
  <c r="Q844" i="24" s="1"/>
  <c r="S844" i="24" s="1"/>
  <c r="U844" i="24" s="1"/>
  <c r="M852" i="24"/>
  <c r="Q852" i="24" s="1"/>
  <c r="S852" i="24" s="1"/>
  <c r="U852" i="24" s="1"/>
  <c r="M867" i="24"/>
  <c r="O862" i="24"/>
  <c r="Q862" i="24" s="1"/>
  <c r="S862" i="24" s="1"/>
  <c r="U862" i="24" s="1"/>
  <c r="M866" i="24"/>
  <c r="O889" i="24"/>
  <c r="Q889" i="24" s="1"/>
  <c r="S889" i="24" s="1"/>
  <c r="U889" i="24" s="1"/>
  <c r="J1037" i="24"/>
  <c r="M1036" i="24"/>
  <c r="I908" i="24"/>
  <c r="I919" i="24"/>
  <c r="O919" i="24" s="1"/>
  <c r="I922" i="24"/>
  <c r="O929" i="24"/>
  <c r="Q929" i="24" s="1"/>
  <c r="S929" i="24" s="1"/>
  <c r="U929" i="24" s="1"/>
  <c r="Q933" i="24"/>
  <c r="S933" i="24" s="1"/>
  <c r="U933" i="24" s="1"/>
  <c r="J1060" i="24"/>
  <c r="J1062" i="24" s="1"/>
  <c r="J1063" i="24" s="1"/>
  <c r="M1059" i="24"/>
  <c r="Q1059" i="24" s="1"/>
  <c r="S1059" i="24" s="1"/>
  <c r="U1059" i="24" s="1"/>
  <c r="Q932" i="24"/>
  <c r="S932" i="24" s="1"/>
  <c r="U932" i="24" s="1"/>
  <c r="I1039" i="24"/>
  <c r="O1038" i="24"/>
  <c r="J938" i="24"/>
  <c r="J998" i="24"/>
  <c r="O1036" i="24"/>
  <c r="Q1058" i="24"/>
  <c r="S1058" i="24" s="1"/>
  <c r="U1058" i="24" s="1"/>
  <c r="Q1113" i="24"/>
  <c r="S1113" i="24" s="1"/>
  <c r="U1113" i="24" s="1"/>
  <c r="M1132" i="24"/>
  <c r="Q1132" i="24" s="1"/>
  <c r="S1132" i="24" s="1"/>
  <c r="U1132" i="24" s="1"/>
  <c r="J1133" i="24"/>
  <c r="Q1099" i="24"/>
  <c r="S1099" i="24" s="1"/>
  <c r="U1099" i="24" s="1"/>
  <c r="O1138" i="24"/>
  <c r="Q1138" i="24" s="1"/>
  <c r="S1138" i="24" s="1"/>
  <c r="U1138" i="24" s="1"/>
  <c r="J1140" i="24"/>
  <c r="M1139" i="24"/>
  <c r="Q1139" i="24" s="1"/>
  <c r="S1139" i="24" s="1"/>
  <c r="U1139" i="24" s="1"/>
  <c r="I1140" i="24"/>
  <c r="I1142" i="24" s="1"/>
  <c r="M1196" i="24"/>
  <c r="Q1196" i="24" s="1"/>
  <c r="S1196" i="24" s="1"/>
  <c r="U1196" i="24" s="1"/>
  <c r="J1197" i="24"/>
  <c r="M1197" i="24" s="1"/>
  <c r="Q1197" i="24" s="1"/>
  <c r="S1197" i="24" s="1"/>
  <c r="U1197" i="24" s="1"/>
  <c r="Q1213" i="24"/>
  <c r="S1213" i="24" s="1"/>
  <c r="U1213" i="24" s="1"/>
  <c r="Q1204" i="24"/>
  <c r="S1204" i="24" s="1"/>
  <c r="U1204" i="24" s="1"/>
  <c r="M1215" i="24"/>
  <c r="Q1215" i="24" s="1"/>
  <c r="S1215" i="24" s="1"/>
  <c r="U1215" i="24" s="1"/>
  <c r="Q1235" i="24"/>
  <c r="S1235" i="24" s="1"/>
  <c r="U1235" i="24" s="1"/>
  <c r="Q1249" i="24"/>
  <c r="S1249" i="24" s="1"/>
  <c r="U1249" i="24" s="1"/>
  <c r="J1219" i="24"/>
  <c r="C3" i="20"/>
  <c r="F238" i="20"/>
  <c r="D4" i="20"/>
  <c r="F64" i="20"/>
  <c r="J61" i="20"/>
  <c r="M61" i="20" s="1"/>
  <c r="Q61" i="20" s="1"/>
  <c r="S61" i="20" s="1"/>
  <c r="U61" i="20" s="1"/>
  <c r="M58" i="20"/>
  <c r="Q58" i="20" s="1"/>
  <c r="S58" i="20" s="1"/>
  <c r="U58" i="20" s="1"/>
  <c r="Q137" i="20"/>
  <c r="S137" i="20" s="1"/>
  <c r="U137" i="20" s="1"/>
  <c r="J44" i="20"/>
  <c r="J45" i="20" s="1"/>
  <c r="M41" i="20"/>
  <c r="Q41" i="20" s="1"/>
  <c r="S41" i="20" s="1"/>
  <c r="U41" i="20" s="1"/>
  <c r="M138" i="20"/>
  <c r="Q138" i="20" s="1"/>
  <c r="S138" i="20" s="1"/>
  <c r="U138" i="20" s="1"/>
  <c r="Q135" i="20"/>
  <c r="S135" i="20" s="1"/>
  <c r="U135" i="20" s="1"/>
  <c r="O246" i="20"/>
  <c r="Q246" i="20" s="1"/>
  <c r="S246" i="20" s="1"/>
  <c r="U246" i="20" s="1"/>
  <c r="I247" i="20"/>
  <c r="K229" i="20"/>
  <c r="K230" i="20" s="1"/>
  <c r="K231" i="20" s="1"/>
  <c r="M228" i="20"/>
  <c r="Q228" i="20" s="1"/>
  <c r="S228" i="20" s="1"/>
  <c r="U228" i="20" s="1"/>
  <c r="J269" i="20"/>
  <c r="J274" i="20" s="1"/>
  <c r="M264" i="20"/>
  <c r="J271" i="20"/>
  <c r="J276" i="20" s="1"/>
  <c r="M266" i="20"/>
  <c r="C2" i="20"/>
  <c r="M40" i="20"/>
  <c r="Q40" i="20" s="1"/>
  <c r="S40" i="20" s="1"/>
  <c r="U40" i="20" s="1"/>
  <c r="M48" i="20"/>
  <c r="Q48" i="20" s="1"/>
  <c r="S48" i="20" s="1"/>
  <c r="U48" i="20" s="1"/>
  <c r="M93" i="20"/>
  <c r="Q93" i="20" s="1"/>
  <c r="S93" i="20" s="1"/>
  <c r="U93" i="20" s="1"/>
  <c r="M249" i="20"/>
  <c r="M251" i="20"/>
  <c r="M446" i="20"/>
  <c r="Q446" i="20" s="1"/>
  <c r="S446" i="20" s="1"/>
  <c r="U446" i="20" s="1"/>
  <c r="J447" i="20"/>
  <c r="J661" i="20"/>
  <c r="J662" i="20" s="1"/>
  <c r="M658" i="20"/>
  <c r="Q658" i="20" s="1"/>
  <c r="S658" i="20" s="1"/>
  <c r="U658" i="20" s="1"/>
  <c r="J255" i="20"/>
  <c r="J260" i="20" s="1"/>
  <c r="J265" i="20" s="1"/>
  <c r="J257" i="20"/>
  <c r="J262" i="20" s="1"/>
  <c r="J267" i="20" s="1"/>
  <c r="M381" i="20"/>
  <c r="Q381" i="20" s="1"/>
  <c r="S381" i="20" s="1"/>
  <c r="U381" i="20" s="1"/>
  <c r="J382" i="20"/>
  <c r="Q419" i="20"/>
  <c r="S419" i="20" s="1"/>
  <c r="U419" i="20" s="1"/>
  <c r="I512" i="20"/>
  <c r="O511" i="20"/>
  <c r="Q511" i="20" s="1"/>
  <c r="S511" i="20" s="1"/>
  <c r="U511" i="20" s="1"/>
  <c r="M569" i="20"/>
  <c r="Q569" i="20" s="1"/>
  <c r="S569" i="20" s="1"/>
  <c r="U569" i="20" s="1"/>
  <c r="J570" i="20"/>
  <c r="M570" i="20" s="1"/>
  <c r="Q570" i="20" s="1"/>
  <c r="S570" i="20" s="1"/>
  <c r="U570" i="20" s="1"/>
  <c r="I585" i="20"/>
  <c r="I586" i="20"/>
  <c r="O586" i="20" s="1"/>
  <c r="M755" i="20"/>
  <c r="Q755" i="20" s="1"/>
  <c r="S755" i="20" s="1"/>
  <c r="U755" i="20" s="1"/>
  <c r="Q752" i="20"/>
  <c r="S752" i="20" s="1"/>
  <c r="U752" i="20" s="1"/>
  <c r="M57" i="20"/>
  <c r="Q57" i="20" s="1"/>
  <c r="S57" i="20" s="1"/>
  <c r="U57" i="20" s="1"/>
  <c r="J221" i="20"/>
  <c r="J222" i="20" s="1"/>
  <c r="J223" i="20" s="1"/>
  <c r="J224" i="20" s="1"/>
  <c r="O317" i="20"/>
  <c r="Q317" i="20" s="1"/>
  <c r="S317" i="20" s="1"/>
  <c r="U317" i="20" s="1"/>
  <c r="Q316" i="20"/>
  <c r="S316" i="20" s="1"/>
  <c r="U316" i="20" s="1"/>
  <c r="J422" i="20"/>
  <c r="M421" i="20"/>
  <c r="J516" i="20"/>
  <c r="J515" i="20"/>
  <c r="M515" i="20" s="1"/>
  <c r="M94" i="20"/>
  <c r="Q94" i="20" s="1"/>
  <c r="S94" i="20" s="1"/>
  <c r="U94" i="20" s="1"/>
  <c r="M102" i="20"/>
  <c r="Q102" i="20" s="1"/>
  <c r="M227" i="20"/>
  <c r="Q227" i="20" s="1"/>
  <c r="S227" i="20" s="1"/>
  <c r="U227" i="20" s="1"/>
  <c r="M235" i="20"/>
  <c r="Q235" i="20" s="1"/>
  <c r="S235" i="20" s="1"/>
  <c r="U235" i="20" s="1"/>
  <c r="J324" i="20"/>
  <c r="M321" i="20"/>
  <c r="Q321" i="20" s="1"/>
  <c r="S321" i="20" s="1"/>
  <c r="U321" i="20" s="1"/>
  <c r="J588" i="20"/>
  <c r="M586" i="20"/>
  <c r="Q586" i="20" s="1"/>
  <c r="S586" i="20" s="1"/>
  <c r="U586" i="20" s="1"/>
  <c r="J678" i="20"/>
  <c r="M678" i="20" s="1"/>
  <c r="Q678" i="20" s="1"/>
  <c r="S678" i="20" s="1"/>
  <c r="U678" i="20" s="1"/>
  <c r="M675" i="20"/>
  <c r="Q675" i="20" s="1"/>
  <c r="S675" i="20" s="1"/>
  <c r="U675" i="20" s="1"/>
  <c r="Q754" i="20"/>
  <c r="S754" i="20" s="1"/>
  <c r="U754" i="20" s="1"/>
  <c r="I291" i="20"/>
  <c r="I302" i="20"/>
  <c r="O302" i="20" s="1"/>
  <c r="I305" i="20"/>
  <c r="O312" i="20"/>
  <c r="Q312" i="20" s="1"/>
  <c r="S312" i="20" s="1"/>
  <c r="U312" i="20" s="1"/>
  <c r="I420" i="20"/>
  <c r="M442" i="20"/>
  <c r="Q442" i="20" s="1"/>
  <c r="S442" i="20" s="1"/>
  <c r="U442" i="20" s="1"/>
  <c r="M512" i="20"/>
  <c r="J572" i="20"/>
  <c r="J585" i="20"/>
  <c r="M657" i="20"/>
  <c r="Q657" i="20" s="1"/>
  <c r="S657" i="20" s="1"/>
  <c r="U657" i="20" s="1"/>
  <c r="M665" i="20"/>
  <c r="Q665" i="20" s="1"/>
  <c r="S665" i="20" s="1"/>
  <c r="U665" i="20" s="1"/>
  <c r="O844" i="20"/>
  <c r="Q844" i="20" s="1"/>
  <c r="S844" i="20" s="1"/>
  <c r="U844" i="20" s="1"/>
  <c r="J886" i="20"/>
  <c r="J891" i="20" s="1"/>
  <c r="M881" i="20"/>
  <c r="J888" i="20"/>
  <c r="J893" i="20" s="1"/>
  <c r="M883" i="20"/>
  <c r="O889" i="20"/>
  <c r="Q889" i="20" s="1"/>
  <c r="S889" i="20" s="1"/>
  <c r="U889" i="20" s="1"/>
  <c r="Q888" i="20"/>
  <c r="S888" i="20" s="1"/>
  <c r="U888" i="20" s="1"/>
  <c r="J404" i="20"/>
  <c r="J405" i="20" s="1"/>
  <c r="J506" i="20"/>
  <c r="J1038" i="20"/>
  <c r="M1037" i="20"/>
  <c r="M420" i="20"/>
  <c r="M674" i="20"/>
  <c r="Q674" i="20" s="1"/>
  <c r="S674" i="20" s="1"/>
  <c r="U674" i="20" s="1"/>
  <c r="M687" i="20"/>
  <c r="Q687" i="20" s="1"/>
  <c r="M711" i="20"/>
  <c r="Q711" i="20" s="1"/>
  <c r="S711" i="20" s="1"/>
  <c r="U711" i="20" s="1"/>
  <c r="M719" i="20"/>
  <c r="Q719" i="20" s="1"/>
  <c r="J889" i="20"/>
  <c r="J894" i="20" s="1"/>
  <c r="M884" i="20"/>
  <c r="O908" i="20"/>
  <c r="I909" i="20"/>
  <c r="O909" i="20" s="1"/>
  <c r="O922" i="20"/>
  <c r="I923" i="20"/>
  <c r="O934" i="20"/>
  <c r="Q934" i="20" s="1"/>
  <c r="S934" i="20" s="1"/>
  <c r="U934" i="20" s="1"/>
  <c r="Q933" i="20"/>
  <c r="S933" i="20" s="1"/>
  <c r="U933" i="20" s="1"/>
  <c r="I1039" i="20"/>
  <c r="O1038" i="20"/>
  <c r="Q1058" i="20"/>
  <c r="S1058" i="20" s="1"/>
  <c r="U1058" i="20" s="1"/>
  <c r="J565" i="20"/>
  <c r="K846" i="20"/>
  <c r="K847" i="20" s="1"/>
  <c r="K848" i="20" s="1"/>
  <c r="M845" i="20"/>
  <c r="Q845" i="20" s="1"/>
  <c r="S845" i="20" s="1"/>
  <c r="U845" i="20" s="1"/>
  <c r="O863" i="20"/>
  <c r="Q863" i="20" s="1"/>
  <c r="S863" i="20" s="1"/>
  <c r="U863" i="20" s="1"/>
  <c r="I864" i="20"/>
  <c r="J941" i="20"/>
  <c r="M938" i="20"/>
  <c r="Q938" i="20" s="1"/>
  <c r="S938" i="20" s="1"/>
  <c r="U938" i="20" s="1"/>
  <c r="M1063" i="20"/>
  <c r="Q1063" i="20" s="1"/>
  <c r="S1063" i="20" s="1"/>
  <c r="U1063" i="20" s="1"/>
  <c r="J1064" i="20"/>
  <c r="M866" i="20"/>
  <c r="M868" i="20"/>
  <c r="J872" i="20"/>
  <c r="J877" i="20" s="1"/>
  <c r="J882" i="20" s="1"/>
  <c r="Q928" i="20"/>
  <c r="S928" i="20" s="1"/>
  <c r="U928" i="20" s="1"/>
  <c r="O1037" i="20"/>
  <c r="Q1100" i="20"/>
  <c r="S1100" i="20" s="1"/>
  <c r="U1100" i="20" s="1"/>
  <c r="J1140" i="20"/>
  <c r="M1139" i="20"/>
  <c r="Q1139" i="20" s="1"/>
  <c r="S1139" i="20" s="1"/>
  <c r="U1139" i="20" s="1"/>
  <c r="J1199" i="20"/>
  <c r="J1200" i="20"/>
  <c r="J1192" i="20"/>
  <c r="Q1207" i="20"/>
  <c r="S1207" i="20" s="1"/>
  <c r="U1207" i="20" s="1"/>
  <c r="J1215" i="20"/>
  <c r="M1213" i="20"/>
  <c r="O907" i="20"/>
  <c r="O918" i="20"/>
  <c r="O921" i="20"/>
  <c r="J998" i="20"/>
  <c r="J1134" i="20"/>
  <c r="M1133" i="20"/>
  <c r="Q1133" i="20" s="1"/>
  <c r="S1133" i="20" s="1"/>
  <c r="U1133" i="20" s="1"/>
  <c r="M869" i="20"/>
  <c r="M1036" i="20"/>
  <c r="Q1036" i="20" s="1"/>
  <c r="S1036" i="20" s="1"/>
  <c r="U1036" i="20" s="1"/>
  <c r="I1212" i="20"/>
  <c r="I1213" i="20"/>
  <c r="O1213" i="20" s="1"/>
  <c r="J270" i="15"/>
  <c r="J275" i="15" s="1"/>
  <c r="M265" i="15"/>
  <c r="J272" i="15"/>
  <c r="J277" i="15" s="1"/>
  <c r="M267" i="15"/>
  <c r="Q272" i="15"/>
  <c r="S272" i="15" s="1"/>
  <c r="I302" i="15"/>
  <c r="O302" i="15" s="1"/>
  <c r="O301" i="15"/>
  <c r="O312" i="15"/>
  <c r="Q312" i="15" s="1"/>
  <c r="S312" i="15" s="1"/>
  <c r="Q311" i="15"/>
  <c r="S311" i="15" s="1"/>
  <c r="M381" i="15"/>
  <c r="Q381" i="15" s="1"/>
  <c r="S381" i="15" s="1"/>
  <c r="J382" i="15"/>
  <c r="M1138" i="20"/>
  <c r="Q1138" i="20" s="1"/>
  <c r="S1138" i="20" s="1"/>
  <c r="U1138" i="20" s="1"/>
  <c r="I1140" i="20"/>
  <c r="I1142" i="20" s="1"/>
  <c r="O1207" i="20"/>
  <c r="M70" i="15"/>
  <c r="Q70" i="15" s="1"/>
  <c r="S70" i="15" s="1"/>
  <c r="M102" i="15"/>
  <c r="Q102" i="15" s="1"/>
  <c r="S102" i="15" s="1"/>
  <c r="J269" i="15"/>
  <c r="J274" i="15" s="1"/>
  <c r="M264" i="15"/>
  <c r="O291" i="15"/>
  <c r="I292" i="15"/>
  <c r="O292" i="15" s="1"/>
  <c r="O305" i="15"/>
  <c r="I306" i="15"/>
  <c r="O317" i="15"/>
  <c r="Q317" i="15" s="1"/>
  <c r="S317" i="15" s="1"/>
  <c r="Q316" i="15"/>
  <c r="S316" i="15" s="1"/>
  <c r="J1195" i="20"/>
  <c r="J1196" i="20" s="1"/>
  <c r="D4" i="15"/>
  <c r="F64" i="15"/>
  <c r="I252" i="15"/>
  <c r="I251" i="15"/>
  <c r="O251" i="15" s="1"/>
  <c r="I250" i="15"/>
  <c r="O250" i="15" s="1"/>
  <c r="I249" i="15"/>
  <c r="O249" i="15" s="1"/>
  <c r="O247" i="15"/>
  <c r="Q247" i="15" s="1"/>
  <c r="S247" i="15" s="1"/>
  <c r="J271" i="15"/>
  <c r="J276" i="15" s="1"/>
  <c r="M266" i="15"/>
  <c r="C3" i="15"/>
  <c r="M228" i="15"/>
  <c r="Q228" i="15" s="1"/>
  <c r="S228" i="15" s="1"/>
  <c r="K229" i="15"/>
  <c r="K230" i="15" s="1"/>
  <c r="K231" i="15" s="1"/>
  <c r="Q249" i="15"/>
  <c r="S249" i="15" s="1"/>
  <c r="Q271" i="15"/>
  <c r="S271" i="15" s="1"/>
  <c r="Q135" i="15"/>
  <c r="S135" i="15" s="1"/>
  <c r="I228" i="15"/>
  <c r="I229" i="15" s="1"/>
  <c r="I230" i="15" s="1"/>
  <c r="I231" i="15" s="1"/>
  <c r="M235" i="15"/>
  <c r="Q235" i="15" s="1"/>
  <c r="S235" i="15" s="1"/>
  <c r="M250" i="15"/>
  <c r="Q250" i="15" s="1"/>
  <c r="S250" i="15" s="1"/>
  <c r="O300" i="15"/>
  <c r="J321" i="15"/>
  <c r="Q511" i="15"/>
  <c r="S511" i="15" s="1"/>
  <c r="J228" i="15"/>
  <c r="J229" i="15" s="1"/>
  <c r="J230" i="15" s="1"/>
  <c r="J231" i="15" s="1"/>
  <c r="O246" i="15"/>
  <c r="Q246" i="15" s="1"/>
  <c r="S246" i="15" s="1"/>
  <c r="M251" i="15"/>
  <c r="Q310" i="15"/>
  <c r="S310" i="15" s="1"/>
  <c r="I421" i="15"/>
  <c r="O420" i="15"/>
  <c r="M420" i="15"/>
  <c r="M422" i="15"/>
  <c r="M252" i="15"/>
  <c r="M425" i="15"/>
  <c r="J426" i="15"/>
  <c r="J572" i="15"/>
  <c r="J565" i="15"/>
  <c r="J573" i="15"/>
  <c r="I585" i="15"/>
  <c r="I586" i="15"/>
  <c r="O586" i="15" s="1"/>
  <c r="J507" i="15"/>
  <c r="M506" i="15"/>
  <c r="Q506" i="15" s="1"/>
  <c r="S506" i="15" s="1"/>
  <c r="M512" i="15"/>
  <c r="J513" i="15"/>
  <c r="I512" i="15"/>
  <c r="J585" i="15"/>
  <c r="J586" i="15"/>
  <c r="M882" i="15"/>
  <c r="J887" i="15"/>
  <c r="J892" i="15" s="1"/>
  <c r="O419" i="15"/>
  <c r="Q419" i="15" s="1"/>
  <c r="S419" i="15" s="1"/>
  <c r="J443" i="15"/>
  <c r="J445" i="15" s="1"/>
  <c r="J446" i="15" s="1"/>
  <c r="M505" i="15"/>
  <c r="Q505" i="15" s="1"/>
  <c r="S505" i="15" s="1"/>
  <c r="J568" i="15"/>
  <c r="J569" i="15" s="1"/>
  <c r="O580" i="15"/>
  <c r="Q580" i="15" s="1"/>
  <c r="S580" i="15" s="1"/>
  <c r="I582" i="15"/>
  <c r="Q620" i="15"/>
  <c r="S620" i="15" s="1"/>
  <c r="K689" i="15"/>
  <c r="M689" i="15" s="1"/>
  <c r="Q689" i="15" s="1"/>
  <c r="S689" i="15" s="1"/>
  <c r="M756" i="15"/>
  <c r="Q756" i="15" s="1"/>
  <c r="S756" i="15" s="1"/>
  <c r="Q753" i="15"/>
  <c r="S753" i="15" s="1"/>
  <c r="Q657" i="15"/>
  <c r="S657" i="15" s="1"/>
  <c r="Q755" i="15"/>
  <c r="S755" i="15" s="1"/>
  <c r="O864" i="15"/>
  <c r="Q864" i="15" s="1"/>
  <c r="S864" i="15" s="1"/>
  <c r="I865" i="15"/>
  <c r="M883" i="15"/>
  <c r="J888" i="15"/>
  <c r="J893" i="15" s="1"/>
  <c r="K847" i="15"/>
  <c r="K848" i="15" s="1"/>
  <c r="K849" i="15" s="1"/>
  <c r="J875" i="15"/>
  <c r="J880" i="15" s="1"/>
  <c r="J885" i="15" s="1"/>
  <c r="M999" i="15"/>
  <c r="Q999" i="15" s="1"/>
  <c r="S999" i="15" s="1"/>
  <c r="J1000" i="15"/>
  <c r="M838" i="15"/>
  <c r="Q838" i="15" s="1"/>
  <c r="S838" i="15" s="1"/>
  <c r="O845" i="15"/>
  <c r="Q845" i="15" s="1"/>
  <c r="S845" i="15" s="1"/>
  <c r="O863" i="15"/>
  <c r="Q863" i="15" s="1"/>
  <c r="S863" i="15" s="1"/>
  <c r="M867" i="15"/>
  <c r="Q890" i="15"/>
  <c r="S890" i="15" s="1"/>
  <c r="I923" i="15"/>
  <c r="Q934" i="15"/>
  <c r="S934" i="15" s="1"/>
  <c r="J874" i="15"/>
  <c r="J879" i="15" s="1"/>
  <c r="J884" i="15" s="1"/>
  <c r="I909" i="15"/>
  <c r="Q937" i="15"/>
  <c r="S937" i="15" s="1"/>
  <c r="Q889" i="15"/>
  <c r="S889" i="15" s="1"/>
  <c r="O919" i="15"/>
  <c r="M942" i="15"/>
  <c r="Q942" i="15" s="1"/>
  <c r="S942" i="15" s="1"/>
  <c r="J943" i="15"/>
  <c r="O929" i="15"/>
  <c r="M996" i="15"/>
  <c r="Q996" i="15" s="1"/>
  <c r="S996" i="15" s="1"/>
  <c r="J1061" i="15"/>
  <c r="J1063" i="15" s="1"/>
  <c r="J1064" i="15" s="1"/>
  <c r="M1060" i="15"/>
  <c r="Q1060" i="15" s="1"/>
  <c r="S1060" i="15" s="1"/>
  <c r="Q1139" i="15"/>
  <c r="S1139" i="15" s="1"/>
  <c r="I1140" i="15"/>
  <c r="O1139" i="15"/>
  <c r="I1039" i="15"/>
  <c r="J1134" i="15"/>
  <c r="J1198" i="15"/>
  <c r="M1198" i="15" s="1"/>
  <c r="Q1198" i="15" s="1"/>
  <c r="S1198" i="15" s="1"/>
  <c r="M1197" i="15"/>
  <c r="Q1197" i="15" s="1"/>
  <c r="S1197" i="15" s="1"/>
  <c r="M1216" i="15"/>
  <c r="Q1216" i="15" s="1"/>
  <c r="S1216" i="15" s="1"/>
  <c r="J1218" i="15"/>
  <c r="J1038" i="15"/>
  <c r="Q1113" i="15"/>
  <c r="S1113" i="15" s="1"/>
  <c r="J1140" i="15"/>
  <c r="L114" i="11"/>
  <c r="N114" i="11" s="1"/>
  <c r="J1193" i="15"/>
  <c r="J1200" i="15"/>
  <c r="I1211" i="15"/>
  <c r="L199" i="8"/>
  <c r="L198" i="8"/>
  <c r="J198" i="11"/>
  <c r="J199" i="11"/>
  <c r="L238" i="8"/>
  <c r="J238" i="11"/>
  <c r="L226" i="8"/>
  <c r="N226" i="8" s="1"/>
  <c r="P226" i="8" s="1"/>
  <c r="J226" i="11"/>
  <c r="L343" i="8"/>
  <c r="N343" i="8" s="1"/>
  <c r="P343" i="8" s="1"/>
  <c r="L342" i="8"/>
  <c r="N342" i="8" s="1"/>
  <c r="P342" i="8" s="1"/>
  <c r="L125" i="8"/>
  <c r="J125" i="11"/>
  <c r="J343" i="11"/>
  <c r="J342" i="11"/>
  <c r="L202" i="8"/>
  <c r="L4" i="8"/>
  <c r="L3" i="8"/>
  <c r="L2" i="8"/>
  <c r="J202" i="11"/>
  <c r="L202" i="11" s="1"/>
  <c r="N202" i="11" s="1"/>
  <c r="J424" i="8"/>
  <c r="J423" i="8"/>
  <c r="K423" i="8" s="1"/>
  <c r="J425" i="8"/>
  <c r="J410" i="8"/>
  <c r="K410" i="8" s="1"/>
  <c r="L270" i="8"/>
  <c r="N270" i="8" s="1"/>
  <c r="P270" i="8" s="1"/>
  <c r="J421" i="8"/>
  <c r="K421" i="8" s="1"/>
  <c r="J411" i="8"/>
  <c r="J422" i="8"/>
  <c r="K422" i="8" s="1"/>
  <c r="K425" i="8" s="1"/>
  <c r="J412" i="8"/>
  <c r="K412" i="8" s="1"/>
  <c r="H424" i="11"/>
  <c r="H423" i="11"/>
  <c r="H425" i="11"/>
  <c r="H410" i="11"/>
  <c r="I410" i="11" s="1"/>
  <c r="H421" i="11"/>
  <c r="I421" i="11" s="1"/>
  <c r="H411" i="11"/>
  <c r="H422" i="11"/>
  <c r="H412" i="11"/>
  <c r="J270" i="11"/>
  <c r="L382" i="8"/>
  <c r="L379" i="8"/>
  <c r="L378" i="8"/>
  <c r="L245" i="8"/>
  <c r="L243" i="8"/>
  <c r="L266" i="8"/>
  <c r="L246" i="8"/>
  <c r="L244" i="8"/>
  <c r="J382" i="11"/>
  <c r="L382" i="11" s="1"/>
  <c r="N382" i="11" s="1"/>
  <c r="J379" i="11"/>
  <c r="L379" i="11" s="1"/>
  <c r="N379" i="11" s="1"/>
  <c r="J378" i="11"/>
  <c r="L378" i="11" s="1"/>
  <c r="N378" i="11" s="1"/>
  <c r="J266" i="11"/>
  <c r="J246" i="11"/>
  <c r="J245" i="11"/>
  <c r="J244" i="11"/>
  <c r="J243" i="11"/>
  <c r="L383" i="8"/>
  <c r="L381" i="8"/>
  <c r="L380" i="8"/>
  <c r="L260" i="8"/>
  <c r="J383" i="11"/>
  <c r="L383" i="11" s="1"/>
  <c r="N383" i="11" s="1"/>
  <c r="J381" i="11"/>
  <c r="L381" i="11" s="1"/>
  <c r="N381" i="11" s="1"/>
  <c r="J380" i="11"/>
  <c r="L380" i="11" s="1"/>
  <c r="N380" i="11" s="1"/>
  <c r="J260" i="11"/>
  <c r="L260" i="11" s="1"/>
  <c r="N260" i="11" s="1"/>
  <c r="J2" i="11"/>
  <c r="L2" i="11" s="1"/>
  <c r="N2" i="11" s="1"/>
  <c r="J3" i="11"/>
  <c r="L3" i="11" s="1"/>
  <c r="N3" i="11" s="1"/>
  <c r="J4" i="11"/>
  <c r="L4" i="11" s="1"/>
  <c r="N4" i="11" s="1"/>
  <c r="J62" i="11"/>
  <c r="L62" i="11" s="1"/>
  <c r="N62" i="11" s="1"/>
  <c r="J63" i="11"/>
  <c r="L63" i="11" s="1"/>
  <c r="N63" i="11" s="1"/>
  <c r="J64" i="11"/>
  <c r="L64" i="11" s="1"/>
  <c r="N64" i="11" s="1"/>
  <c r="J65" i="11"/>
  <c r="L65" i="11" s="1"/>
  <c r="N65" i="11" s="1"/>
  <c r="J72" i="11"/>
  <c r="L72" i="11" s="1"/>
  <c r="N72" i="11" s="1"/>
  <c r="J73" i="11"/>
  <c r="L73" i="11" s="1"/>
  <c r="N73" i="11" s="1"/>
  <c r="J74" i="11"/>
  <c r="L74" i="11" s="1"/>
  <c r="N74" i="11" s="1"/>
  <c r="J75" i="11"/>
  <c r="L75" i="11" s="1"/>
  <c r="N75" i="11" s="1"/>
  <c r="J101" i="11"/>
  <c r="L101" i="11" s="1"/>
  <c r="N101" i="11" s="1"/>
  <c r="L198" i="11"/>
  <c r="N198" i="11" s="1"/>
  <c r="L226" i="11"/>
  <c r="N226" i="11" s="1"/>
  <c r="L245" i="11"/>
  <c r="N245" i="11" s="1"/>
  <c r="L266" i="11"/>
  <c r="N266" i="11" s="1"/>
  <c r="L342" i="11"/>
  <c r="N342" i="11" s="1"/>
  <c r="M1214" i="15"/>
  <c r="L116" i="8"/>
  <c r="L110" i="8"/>
  <c r="L197" i="8"/>
  <c r="N197" i="8" s="1"/>
  <c r="P197" i="8" s="1"/>
  <c r="L196" i="8"/>
  <c r="J197" i="11"/>
  <c r="J196" i="11"/>
  <c r="L218" i="8"/>
  <c r="N218" i="8" s="1"/>
  <c r="P218" i="8" s="1"/>
  <c r="L216" i="8"/>
  <c r="N216" i="8" s="1"/>
  <c r="P216" i="8" s="1"/>
  <c r="L102" i="8"/>
  <c r="L101" i="8"/>
  <c r="J218" i="11"/>
  <c r="L218" i="11" s="1"/>
  <c r="N218" i="11" s="1"/>
  <c r="J216" i="11"/>
  <c r="L216" i="11" s="1"/>
  <c r="N216" i="11" s="1"/>
  <c r="L236" i="8"/>
  <c r="J236" i="11"/>
  <c r="L236" i="11" s="1"/>
  <c r="N236" i="11" s="1"/>
  <c r="L320" i="8"/>
  <c r="L319" i="8"/>
  <c r="L318" i="8"/>
  <c r="L317" i="8"/>
  <c r="J320" i="11"/>
  <c r="L320" i="11" s="1"/>
  <c r="N320" i="11" s="1"/>
  <c r="J319" i="11"/>
  <c r="L319" i="11" s="1"/>
  <c r="N319" i="11" s="1"/>
  <c r="J318" i="11"/>
  <c r="L318" i="11" s="1"/>
  <c r="N318" i="11" s="1"/>
  <c r="J317" i="11"/>
  <c r="L317" i="11" s="1"/>
  <c r="N317" i="11" s="1"/>
  <c r="J109" i="11"/>
  <c r="L109" i="11" s="1"/>
  <c r="N109" i="11" s="1"/>
  <c r="J110" i="11"/>
  <c r="L110" i="11" s="1"/>
  <c r="N110" i="11" s="1"/>
  <c r="J116" i="11"/>
  <c r="L116" i="11" s="1"/>
  <c r="N116" i="11" s="1"/>
  <c r="L196" i="11"/>
  <c r="N196" i="11" s="1"/>
  <c r="L199" i="11"/>
  <c r="N199" i="11" s="1"/>
  <c r="L246" i="11"/>
  <c r="N246" i="11" s="1"/>
  <c r="L343" i="11"/>
  <c r="N343" i="11" s="1"/>
  <c r="O1208" i="15"/>
  <c r="Q1208" i="15" s="1"/>
  <c r="S1208" i="15" s="1"/>
  <c r="L187" i="8"/>
  <c r="L183" i="8"/>
  <c r="J187" i="11"/>
  <c r="J183" i="11"/>
  <c r="L127" i="8"/>
  <c r="J127" i="11"/>
  <c r="L148" i="8"/>
  <c r="N148" i="8" s="1"/>
  <c r="P148" i="8" s="1"/>
  <c r="J148" i="11"/>
  <c r="L148" i="11" s="1"/>
  <c r="N148" i="11" s="1"/>
  <c r="L185" i="8"/>
  <c r="L181" i="8"/>
  <c r="J185" i="11"/>
  <c r="J181" i="11"/>
  <c r="L275" i="8"/>
  <c r="N275" i="8" s="1"/>
  <c r="P275" i="8" s="1"/>
  <c r="L155" i="8"/>
  <c r="J275" i="11"/>
  <c r="L275" i="11" s="1"/>
  <c r="N275" i="11" s="1"/>
  <c r="J155" i="11"/>
  <c r="L155" i="11" s="1"/>
  <c r="N155" i="11" s="1"/>
  <c r="L145" i="8"/>
  <c r="N145" i="8" s="1"/>
  <c r="P145" i="8" s="1"/>
  <c r="L143" i="8"/>
  <c r="N143" i="8" s="1"/>
  <c r="P143" i="8" s="1"/>
  <c r="J145" i="11"/>
  <c r="L145" i="11" s="1"/>
  <c r="N145" i="11" s="1"/>
  <c r="J143" i="11"/>
  <c r="L143" i="11" s="1"/>
  <c r="N143" i="11" s="1"/>
  <c r="L281" i="8"/>
  <c r="N281" i="8" s="1"/>
  <c r="P281" i="8" s="1"/>
  <c r="L152" i="8"/>
  <c r="L121" i="8"/>
  <c r="J121" i="11"/>
  <c r="L121" i="11" s="1"/>
  <c r="N121" i="11" s="1"/>
  <c r="J281" i="11"/>
  <c r="J152" i="11"/>
  <c r="L256" i="8"/>
  <c r="J256" i="11"/>
  <c r="L256" i="11" s="1"/>
  <c r="N256" i="11" s="1"/>
  <c r="L309" i="8"/>
  <c r="N309" i="8" s="1"/>
  <c r="P309" i="8" s="1"/>
  <c r="L307" i="8"/>
  <c r="N307" i="8" s="1"/>
  <c r="P307" i="8" s="1"/>
  <c r="J309" i="11"/>
  <c r="J307" i="11"/>
  <c r="L307" i="11" s="1"/>
  <c r="N307" i="11" s="1"/>
  <c r="H248" i="11"/>
  <c r="L248" i="11" s="1"/>
  <c r="N248" i="11" s="1"/>
  <c r="L247" i="11"/>
  <c r="N247" i="11" s="1"/>
  <c r="O1188" i="15"/>
  <c r="Q1188" i="15" s="1"/>
  <c r="S1188" i="15" s="1"/>
  <c r="L139" i="8"/>
  <c r="N139" i="8" s="1"/>
  <c r="P139" i="8" s="1"/>
  <c r="J139" i="11"/>
  <c r="L139" i="11" s="1"/>
  <c r="N139" i="11" s="1"/>
  <c r="L173" i="8"/>
  <c r="N173" i="8" s="1"/>
  <c r="P173" i="8" s="1"/>
  <c r="L114" i="8"/>
  <c r="L137" i="8"/>
  <c r="N137" i="8" s="1"/>
  <c r="P137" i="8" s="1"/>
  <c r="L75" i="8"/>
  <c r="L74" i="8"/>
  <c r="L73" i="8"/>
  <c r="L72" i="8"/>
  <c r="L65" i="8"/>
  <c r="L64" i="8"/>
  <c r="L63" i="8"/>
  <c r="L62" i="8"/>
  <c r="J137" i="11"/>
  <c r="L137" i="11" s="1"/>
  <c r="N137" i="11" s="1"/>
  <c r="J173" i="11"/>
  <c r="L173" i="11" s="1"/>
  <c r="N173" i="11" s="1"/>
  <c r="L171" i="8"/>
  <c r="J171" i="11"/>
  <c r="L250" i="8"/>
  <c r="N250" i="8" s="1"/>
  <c r="P250" i="8" s="1"/>
  <c r="L265" i="8"/>
  <c r="J265" i="11"/>
  <c r="L265" i="11" s="1"/>
  <c r="N265" i="11" s="1"/>
  <c r="J250" i="11"/>
  <c r="L250" i="11" s="1"/>
  <c r="N250" i="11" s="1"/>
  <c r="L336" i="8"/>
  <c r="N336" i="8" s="1"/>
  <c r="P336" i="8" s="1"/>
  <c r="L335" i="8"/>
  <c r="N335" i="8" s="1"/>
  <c r="P335" i="8" s="1"/>
  <c r="J335" i="11"/>
  <c r="L335" i="11" s="1"/>
  <c r="N335" i="11" s="1"/>
  <c r="J336" i="11"/>
  <c r="L336" i="11" s="1"/>
  <c r="N336" i="11" s="1"/>
  <c r="L323" i="8"/>
  <c r="N323" i="8" s="1"/>
  <c r="P323" i="8" s="1"/>
  <c r="J323" i="11"/>
  <c r="L323" i="11" s="1"/>
  <c r="N323" i="11" s="1"/>
  <c r="E123" i="11"/>
  <c r="H122" i="11"/>
  <c r="L122" i="11" s="1"/>
  <c r="N122" i="11" s="1"/>
  <c r="L152" i="11"/>
  <c r="N152" i="11" s="1"/>
  <c r="L171" i="11"/>
  <c r="N171" i="11" s="1"/>
  <c r="E182" i="11"/>
  <c r="H181" i="11"/>
  <c r="L181" i="11" s="1"/>
  <c r="N181" i="11" s="1"/>
  <c r="L197" i="11"/>
  <c r="N197" i="11" s="1"/>
  <c r="L238" i="11"/>
  <c r="N238" i="11" s="1"/>
  <c r="L244" i="11"/>
  <c r="N244" i="11" s="1"/>
  <c r="L270" i="11"/>
  <c r="N270" i="11" s="1"/>
  <c r="L281" i="11"/>
  <c r="N281" i="11" s="1"/>
  <c r="L309" i="11"/>
  <c r="N309" i="11" s="1"/>
  <c r="L243" i="11"/>
  <c r="N243" i="11" s="1"/>
  <c r="I411" i="11"/>
  <c r="I423" i="11"/>
  <c r="N4" i="8"/>
  <c r="P4" i="8" s="1"/>
  <c r="N63" i="8"/>
  <c r="P63" i="8" s="1"/>
  <c r="N73" i="8"/>
  <c r="P73" i="8" s="1"/>
  <c r="I412" i="11"/>
  <c r="N64" i="8"/>
  <c r="P64" i="8" s="1"/>
  <c r="N74" i="8"/>
  <c r="P74" i="8" s="1"/>
  <c r="N2" i="8"/>
  <c r="P2" i="8" s="1"/>
  <c r="N65" i="8"/>
  <c r="P65" i="8" s="1"/>
  <c r="N75" i="8"/>
  <c r="P75" i="8" s="1"/>
  <c r="H180" i="11"/>
  <c r="L180" i="11" s="1"/>
  <c r="N180" i="11" s="1"/>
  <c r="I422" i="11"/>
  <c r="I425" i="11" s="1"/>
  <c r="N3" i="8"/>
  <c r="P3" i="8" s="1"/>
  <c r="N62" i="8"/>
  <c r="P62" i="8" s="1"/>
  <c r="N72" i="8"/>
  <c r="P72" i="8" s="1"/>
  <c r="N102" i="8"/>
  <c r="P102" i="8" s="1"/>
  <c r="N116" i="8"/>
  <c r="P116" i="8" s="1"/>
  <c r="N121" i="8"/>
  <c r="P121" i="8" s="1"/>
  <c r="N155" i="8"/>
  <c r="P155" i="8" s="1"/>
  <c r="G182" i="8"/>
  <c r="J181" i="8"/>
  <c r="N181" i="8" s="1"/>
  <c r="P181" i="8" s="1"/>
  <c r="L109" i="8"/>
  <c r="N114" i="8"/>
  <c r="P114" i="8" s="1"/>
  <c r="G124" i="8"/>
  <c r="J123" i="8"/>
  <c r="N123" i="8" s="1"/>
  <c r="P123" i="8" s="1"/>
  <c r="N198" i="8"/>
  <c r="P198" i="8" s="1"/>
  <c r="N320" i="8"/>
  <c r="P320" i="8" s="1"/>
  <c r="N110" i="8"/>
  <c r="P110" i="8" s="1"/>
  <c r="N196" i="8"/>
  <c r="P196" i="8" s="1"/>
  <c r="N101" i="8"/>
  <c r="P101" i="8" s="1"/>
  <c r="N152" i="8"/>
  <c r="P152" i="8" s="1"/>
  <c r="N171" i="8"/>
  <c r="P171" i="8" s="1"/>
  <c r="N237" i="8"/>
  <c r="P237" i="8" s="1"/>
  <c r="N239" i="8"/>
  <c r="P239" i="8" s="1"/>
  <c r="N244" i="8"/>
  <c r="P244" i="8" s="1"/>
  <c r="N246" i="8"/>
  <c r="P246" i="8" s="1"/>
  <c r="N279" i="8"/>
  <c r="N378" i="8"/>
  <c r="P378" i="8" s="1"/>
  <c r="N382" i="8"/>
  <c r="P382" i="8" s="1"/>
  <c r="J109" i="8"/>
  <c r="N109" i="8" s="1"/>
  <c r="P109" i="8" s="1"/>
  <c r="J122" i="8"/>
  <c r="N122" i="8" s="1"/>
  <c r="P122" i="8" s="1"/>
  <c r="J180" i="8"/>
  <c r="N180" i="8" s="1"/>
  <c r="P180" i="8" s="1"/>
  <c r="N257" i="8"/>
  <c r="P257" i="8" s="1"/>
  <c r="N266" i="8"/>
  <c r="P266" i="8" s="1"/>
  <c r="N318" i="8"/>
  <c r="P318" i="8" s="1"/>
  <c r="N379" i="8"/>
  <c r="P379" i="8" s="1"/>
  <c r="N383" i="8"/>
  <c r="P383" i="8" s="1"/>
  <c r="N202" i="8"/>
  <c r="P202" i="8" s="1"/>
  <c r="N236" i="8"/>
  <c r="P236" i="8" s="1"/>
  <c r="N238" i="8"/>
  <c r="P238" i="8" s="1"/>
  <c r="N243" i="8"/>
  <c r="P243" i="8" s="1"/>
  <c r="N245" i="8"/>
  <c r="P245" i="8" s="1"/>
  <c r="J247" i="8"/>
  <c r="N260" i="8"/>
  <c r="P260" i="8" s="1"/>
  <c r="N300" i="8"/>
  <c r="P300" i="8" s="1"/>
  <c r="N380" i="8"/>
  <c r="P380" i="8" s="1"/>
  <c r="P392" i="8"/>
  <c r="N199" i="8"/>
  <c r="P199" i="8" s="1"/>
  <c r="N214" i="8"/>
  <c r="P214" i="8" s="1"/>
  <c r="N256" i="8"/>
  <c r="P256" i="8" s="1"/>
  <c r="N258" i="8"/>
  <c r="P258" i="8" s="1"/>
  <c r="N265" i="8"/>
  <c r="P265" i="8" s="1"/>
  <c r="N267" i="8"/>
  <c r="P267" i="8" s="1"/>
  <c r="N280" i="8"/>
  <c r="N291" i="8"/>
  <c r="P291" i="8" s="1"/>
  <c r="N317" i="8"/>
  <c r="P317" i="8" s="1"/>
  <c r="N319" i="8"/>
  <c r="P319" i="8" s="1"/>
  <c r="N381" i="8"/>
  <c r="P381" i="8" s="1"/>
  <c r="K411" i="8"/>
  <c r="N15" i="4"/>
  <c r="Q419" i="24" l="1"/>
  <c r="S419" i="24" s="1"/>
  <c r="U419" i="24" s="1"/>
  <c r="Q227" i="24"/>
  <c r="S227" i="24" s="1"/>
  <c r="U227" i="24" s="1"/>
  <c r="I1041" i="24"/>
  <c r="I1042" i="24" s="1"/>
  <c r="O1039" i="24"/>
  <c r="M998" i="24"/>
  <c r="Q998" i="24" s="1"/>
  <c r="S998" i="24" s="1"/>
  <c r="U998" i="24" s="1"/>
  <c r="J999" i="24"/>
  <c r="Q1036" i="24"/>
  <c r="S1036" i="24" s="1"/>
  <c r="U1036" i="24" s="1"/>
  <c r="J898" i="24"/>
  <c r="M893" i="24"/>
  <c r="M891" i="24"/>
  <c r="J896" i="24"/>
  <c r="J520" i="24"/>
  <c r="M519" i="24"/>
  <c r="Q519" i="24" s="1"/>
  <c r="S519" i="24" s="1"/>
  <c r="U519" i="24" s="1"/>
  <c r="J590" i="24"/>
  <c r="M588" i="24"/>
  <c r="Q588" i="24" s="1"/>
  <c r="S588" i="24" s="1"/>
  <c r="U588" i="24" s="1"/>
  <c r="J324" i="24"/>
  <c r="M321" i="24"/>
  <c r="Q321" i="24" s="1"/>
  <c r="S321" i="24" s="1"/>
  <c r="U321" i="24" s="1"/>
  <c r="J272" i="24"/>
  <c r="J277" i="24" s="1"/>
  <c r="M267" i="24"/>
  <c r="M276" i="24"/>
  <c r="J281" i="24"/>
  <c r="M138" i="24"/>
  <c r="Q138" i="24" s="1"/>
  <c r="S138" i="24" s="1"/>
  <c r="U138" i="24" s="1"/>
  <c r="M1133" i="24"/>
  <c r="Q1133" i="24" s="1"/>
  <c r="S1133" i="24" s="1"/>
  <c r="U1133" i="24" s="1"/>
  <c r="J1134" i="24"/>
  <c r="I868" i="24"/>
  <c r="O868" i="24" s="1"/>
  <c r="Q868" i="24" s="1"/>
  <c r="S868" i="24" s="1"/>
  <c r="U868" i="24" s="1"/>
  <c r="I869" i="24"/>
  <c r="I867" i="24"/>
  <c r="O867" i="24" s="1"/>
  <c r="Q867" i="24" s="1"/>
  <c r="S867" i="24" s="1"/>
  <c r="U867" i="24" s="1"/>
  <c r="I866" i="24"/>
  <c r="O866" i="24" s="1"/>
  <c r="O864" i="24"/>
  <c r="Q864" i="24" s="1"/>
  <c r="J1220" i="24"/>
  <c r="J1225" i="24" s="1"/>
  <c r="J1226" i="24" s="1"/>
  <c r="J1227" i="24" s="1"/>
  <c r="J1228" i="24" s="1"/>
  <c r="J1229" i="24" s="1"/>
  <c r="M1219" i="24"/>
  <c r="Q1219" i="24" s="1"/>
  <c r="S1219" i="24" s="1"/>
  <c r="U1219" i="24" s="1"/>
  <c r="O1142" i="24"/>
  <c r="I1143" i="24"/>
  <c r="J941" i="24"/>
  <c r="M938" i="24"/>
  <c r="Q938" i="24" s="1"/>
  <c r="S938" i="24" s="1"/>
  <c r="U938" i="24" s="1"/>
  <c r="I923" i="24"/>
  <c r="O922" i="24"/>
  <c r="M1037" i="24"/>
  <c r="Q1037" i="24" s="1"/>
  <c r="S1037" i="24" s="1"/>
  <c r="U1037" i="24" s="1"/>
  <c r="J1038" i="24"/>
  <c r="Q866" i="24"/>
  <c r="S866" i="24" s="1"/>
  <c r="U866" i="24" s="1"/>
  <c r="M894" i="24"/>
  <c r="J899" i="24"/>
  <c r="I585" i="24"/>
  <c r="I586" i="24"/>
  <c r="O586" i="24" s="1"/>
  <c r="Q586" i="24" s="1"/>
  <c r="S586" i="24" s="1"/>
  <c r="U586" i="24" s="1"/>
  <c r="M506" i="24"/>
  <c r="Q506" i="24" s="1"/>
  <c r="S506" i="24" s="1"/>
  <c r="U506" i="24" s="1"/>
  <c r="J507" i="24"/>
  <c r="M422" i="24"/>
  <c r="J424" i="24"/>
  <c r="J425" i="24" s="1"/>
  <c r="M381" i="24"/>
  <c r="Q381" i="24" s="1"/>
  <c r="S381" i="24" s="1"/>
  <c r="U381" i="24" s="1"/>
  <c r="J382" i="24"/>
  <c r="J270" i="24"/>
  <c r="J275" i="24" s="1"/>
  <c r="M265" i="24"/>
  <c r="J279" i="24"/>
  <c r="M274" i="24"/>
  <c r="J1143" i="24"/>
  <c r="J1142" i="24"/>
  <c r="M1142" i="24" s="1"/>
  <c r="I909" i="24"/>
  <c r="O909" i="24" s="1"/>
  <c r="O908" i="24"/>
  <c r="O421" i="24"/>
  <c r="Q421" i="24" s="1"/>
  <c r="S421" i="24" s="1"/>
  <c r="U421" i="24" s="1"/>
  <c r="I422" i="24"/>
  <c r="M1063" i="24"/>
  <c r="Q1063" i="24" s="1"/>
  <c r="S1063" i="24" s="1"/>
  <c r="U1063" i="24" s="1"/>
  <c r="J1064" i="24"/>
  <c r="J897" i="24"/>
  <c r="M892" i="24"/>
  <c r="J447" i="24"/>
  <c r="M446" i="24"/>
  <c r="Q446" i="24" s="1"/>
  <c r="S446" i="24" s="1"/>
  <c r="U446" i="24" s="1"/>
  <c r="O312" i="24"/>
  <c r="Q312" i="24" s="1"/>
  <c r="S312" i="24" s="1"/>
  <c r="U312" i="24" s="1"/>
  <c r="Q311" i="24"/>
  <c r="S311" i="24" s="1"/>
  <c r="U311" i="24" s="1"/>
  <c r="I309" i="24"/>
  <c r="I310" i="24" s="1"/>
  <c r="I311" i="24" s="1"/>
  <c r="I312" i="24" s="1"/>
  <c r="O307" i="24"/>
  <c r="O246" i="24"/>
  <c r="Q246" i="24" s="1"/>
  <c r="S246" i="24" s="1"/>
  <c r="U246" i="24" s="1"/>
  <c r="C4" i="24"/>
  <c r="D5" i="24"/>
  <c r="N247" i="8"/>
  <c r="P247" i="8" s="1"/>
  <c r="J248" i="8"/>
  <c r="N248" i="8" s="1"/>
  <c r="P248" i="8" s="1"/>
  <c r="P384" i="8"/>
  <c r="E183" i="11"/>
  <c r="H182" i="11"/>
  <c r="L182" i="11" s="1"/>
  <c r="N182" i="11" s="1"/>
  <c r="E124" i="11"/>
  <c r="H123" i="11"/>
  <c r="L123" i="11" s="1"/>
  <c r="N123" i="11" s="1"/>
  <c r="K413" i="8"/>
  <c r="K415" i="8" s="1"/>
  <c r="J1220" i="15"/>
  <c r="M1218" i="15"/>
  <c r="Q1218" i="15" s="1"/>
  <c r="S1218" i="15" s="1"/>
  <c r="J1135" i="15"/>
  <c r="M1134" i="15"/>
  <c r="Q1134" i="15" s="1"/>
  <c r="S1134" i="15" s="1"/>
  <c r="Q929" i="15"/>
  <c r="S929" i="15" s="1"/>
  <c r="O930" i="15"/>
  <c r="Q930" i="15" s="1"/>
  <c r="S930" i="15" s="1"/>
  <c r="M884" i="15"/>
  <c r="J889" i="15"/>
  <c r="J894" i="15" s="1"/>
  <c r="J1012" i="15"/>
  <c r="M1000" i="15"/>
  <c r="Q1000" i="15" s="1"/>
  <c r="S1000" i="15" s="1"/>
  <c r="M893" i="15"/>
  <c r="J898" i="15"/>
  <c r="J516" i="15"/>
  <c r="J515" i="15"/>
  <c r="M515" i="15" s="1"/>
  <c r="J281" i="15"/>
  <c r="M276" i="15"/>
  <c r="M1196" i="20"/>
  <c r="Q1196" i="20" s="1"/>
  <c r="S1196" i="20" s="1"/>
  <c r="U1196" i="20" s="1"/>
  <c r="J1197" i="20"/>
  <c r="M1197" i="20" s="1"/>
  <c r="Q1197" i="20" s="1"/>
  <c r="S1197" i="20" s="1"/>
  <c r="U1197" i="20" s="1"/>
  <c r="J279" i="15"/>
  <c r="M274" i="15"/>
  <c r="I1143" i="20"/>
  <c r="O1142" i="20"/>
  <c r="J280" i="15"/>
  <c r="M275" i="15"/>
  <c r="M998" i="20"/>
  <c r="Q998" i="20" s="1"/>
  <c r="S998" i="20" s="1"/>
  <c r="U998" i="20" s="1"/>
  <c r="J999" i="20"/>
  <c r="Q1213" i="20"/>
  <c r="S1213" i="20" s="1"/>
  <c r="U1213" i="20" s="1"/>
  <c r="M506" i="20"/>
  <c r="Q506" i="20" s="1"/>
  <c r="S506" i="20" s="1"/>
  <c r="U506" i="20" s="1"/>
  <c r="J507" i="20"/>
  <c r="M588" i="20"/>
  <c r="Q588" i="20" s="1"/>
  <c r="S588" i="20" s="1"/>
  <c r="U588" i="20" s="1"/>
  <c r="J590" i="20"/>
  <c r="I513" i="20"/>
  <c r="I515" i="20" s="1"/>
  <c r="O512" i="20"/>
  <c r="J272" i="20"/>
  <c r="J277" i="20" s="1"/>
  <c r="M267" i="20"/>
  <c r="M447" i="20"/>
  <c r="Q447" i="20" s="1"/>
  <c r="S447" i="20" s="1"/>
  <c r="U447" i="20" s="1"/>
  <c r="J448" i="20"/>
  <c r="Q249" i="20"/>
  <c r="S249" i="20" s="1"/>
  <c r="U249" i="20" s="1"/>
  <c r="J279" i="20"/>
  <c r="M274" i="20"/>
  <c r="I252" i="20"/>
  <c r="I250" i="20"/>
  <c r="O250" i="20" s="1"/>
  <c r="Q250" i="20" s="1"/>
  <c r="S250" i="20" s="1"/>
  <c r="U250" i="20" s="1"/>
  <c r="O247" i="20"/>
  <c r="Q247" i="20" s="1"/>
  <c r="I251" i="20"/>
  <c r="O251" i="20" s="1"/>
  <c r="I249" i="20"/>
  <c r="O249" i="20" s="1"/>
  <c r="M1038" i="15"/>
  <c r="Q1038" i="15" s="1"/>
  <c r="S1038" i="15" s="1"/>
  <c r="J1039" i="15"/>
  <c r="O1039" i="15"/>
  <c r="I1040" i="15"/>
  <c r="M943" i="15"/>
  <c r="Q943" i="15" s="1"/>
  <c r="S943" i="15" s="1"/>
  <c r="J945" i="15"/>
  <c r="J946" i="15" s="1"/>
  <c r="M446" i="15"/>
  <c r="Q446" i="15" s="1"/>
  <c r="S446" i="15" s="1"/>
  <c r="J447" i="15"/>
  <c r="J588" i="15"/>
  <c r="M586" i="15"/>
  <c r="Q586" i="15" s="1"/>
  <c r="S586" i="15" s="1"/>
  <c r="I422" i="15"/>
  <c r="O421" i="15"/>
  <c r="Q421" i="15" s="1"/>
  <c r="S421" i="15" s="1"/>
  <c r="I254" i="15"/>
  <c r="O252" i="15"/>
  <c r="Q252" i="15" s="1"/>
  <c r="S252" i="15" s="1"/>
  <c r="I257" i="15"/>
  <c r="I256" i="15"/>
  <c r="I255" i="15"/>
  <c r="M1215" i="20"/>
  <c r="Q1215" i="20" s="1"/>
  <c r="S1215" i="20" s="1"/>
  <c r="U1215" i="20" s="1"/>
  <c r="J1217" i="20"/>
  <c r="M941" i="20"/>
  <c r="Q941" i="20" s="1"/>
  <c r="S941" i="20" s="1"/>
  <c r="U941" i="20" s="1"/>
  <c r="J942" i="20"/>
  <c r="O923" i="20"/>
  <c r="I924" i="20"/>
  <c r="M893" i="20"/>
  <c r="J898" i="20"/>
  <c r="Q512" i="20"/>
  <c r="S512" i="20" s="1"/>
  <c r="U512" i="20" s="1"/>
  <c r="O305" i="20"/>
  <c r="I306" i="20"/>
  <c r="M516" i="20"/>
  <c r="J518" i="20"/>
  <c r="J519" i="20" s="1"/>
  <c r="J270" i="20"/>
  <c r="J275" i="20" s="1"/>
  <c r="M265" i="20"/>
  <c r="D5" i="20"/>
  <c r="C4" i="20"/>
  <c r="G125" i="8"/>
  <c r="J124" i="8"/>
  <c r="N124" i="8" s="1"/>
  <c r="P124" i="8" s="1"/>
  <c r="G183" i="8"/>
  <c r="J182" i="8"/>
  <c r="N182" i="8" s="1"/>
  <c r="P182" i="8" s="1"/>
  <c r="I426" i="11"/>
  <c r="I427" i="11" s="1"/>
  <c r="I424" i="11"/>
  <c r="K424" i="8"/>
  <c r="K426" i="8" s="1"/>
  <c r="K427" i="8" s="1"/>
  <c r="M1140" i="15"/>
  <c r="J1141" i="15"/>
  <c r="J1065" i="15"/>
  <c r="M1064" i="15"/>
  <c r="Q1064" i="15" s="1"/>
  <c r="S1064" i="15" s="1"/>
  <c r="O923" i="15"/>
  <c r="I924" i="15"/>
  <c r="M885" i="15"/>
  <c r="J890" i="15"/>
  <c r="J895" i="15" s="1"/>
  <c r="J394" i="15"/>
  <c r="M382" i="15"/>
  <c r="Q382" i="15" s="1"/>
  <c r="S382" i="15" s="1"/>
  <c r="J282" i="15"/>
  <c r="M277" i="15"/>
  <c r="M1064" i="20"/>
  <c r="Q1064" i="20" s="1"/>
  <c r="S1064" i="20" s="1"/>
  <c r="U1064" i="20" s="1"/>
  <c r="J1065" i="20"/>
  <c r="I1041" i="20"/>
  <c r="I1042" i="20" s="1"/>
  <c r="O1039" i="20"/>
  <c r="J899" i="20"/>
  <c r="M894" i="20"/>
  <c r="Q1037" i="20"/>
  <c r="S1037" i="20" s="1"/>
  <c r="U1037" i="20" s="1"/>
  <c r="J325" i="20"/>
  <c r="M324" i="20"/>
  <c r="Q324" i="20" s="1"/>
  <c r="S324" i="20" s="1"/>
  <c r="U324" i="20" s="1"/>
  <c r="M382" i="20"/>
  <c r="Q382" i="20" s="1"/>
  <c r="S382" i="20" s="1"/>
  <c r="U382" i="20" s="1"/>
  <c r="J394" i="20"/>
  <c r="J281" i="20"/>
  <c r="M276" i="20"/>
  <c r="N384" i="11"/>
  <c r="I413" i="11"/>
  <c r="I415" i="11" s="1"/>
  <c r="I1214" i="15"/>
  <c r="O1214" i="15" s="1"/>
  <c r="Q1214" i="15" s="1"/>
  <c r="S1214" i="15" s="1"/>
  <c r="I1213" i="15"/>
  <c r="I1141" i="15"/>
  <c r="I1143" i="15" s="1"/>
  <c r="O1140" i="15"/>
  <c r="O909" i="15"/>
  <c r="I910" i="15"/>
  <c r="O910" i="15" s="1"/>
  <c r="I868" i="15"/>
  <c r="O868" i="15" s="1"/>
  <c r="Q868" i="15" s="1"/>
  <c r="S868" i="15" s="1"/>
  <c r="I870" i="15"/>
  <c r="I867" i="15"/>
  <c r="O867" i="15" s="1"/>
  <c r="Q867" i="15" s="1"/>
  <c r="S867" i="15" s="1"/>
  <c r="I869" i="15"/>
  <c r="O869" i="15" s="1"/>
  <c r="Q869" i="15" s="1"/>
  <c r="S869" i="15" s="1"/>
  <c r="O865" i="15"/>
  <c r="Q865" i="15" s="1"/>
  <c r="S865" i="15" s="1"/>
  <c r="M569" i="15"/>
  <c r="Q569" i="15" s="1"/>
  <c r="S569" i="15" s="1"/>
  <c r="J570" i="15"/>
  <c r="M570" i="15" s="1"/>
  <c r="Q570" i="15" s="1"/>
  <c r="S570" i="15" s="1"/>
  <c r="M892" i="15"/>
  <c r="J897" i="15"/>
  <c r="O512" i="15"/>
  <c r="Q512" i="15" s="1"/>
  <c r="S512" i="15" s="1"/>
  <c r="I513" i="15"/>
  <c r="I515" i="15" s="1"/>
  <c r="M507" i="15"/>
  <c r="Q507" i="15" s="1"/>
  <c r="S507" i="15" s="1"/>
  <c r="J508" i="15"/>
  <c r="M508" i="15" s="1"/>
  <c r="Q508" i="15" s="1"/>
  <c r="S508" i="15" s="1"/>
  <c r="M426" i="15"/>
  <c r="J427" i="15"/>
  <c r="J429" i="15" s="1"/>
  <c r="Q420" i="15"/>
  <c r="S420" i="15" s="1"/>
  <c r="Q251" i="15"/>
  <c r="S251" i="15" s="1"/>
  <c r="M321" i="15"/>
  <c r="Q321" i="15" s="1"/>
  <c r="S321" i="15" s="1"/>
  <c r="J324" i="15"/>
  <c r="C4" i="15"/>
  <c r="D5" i="15"/>
  <c r="O306" i="15"/>
  <c r="I307" i="15"/>
  <c r="J1135" i="20"/>
  <c r="M1135" i="20" s="1"/>
  <c r="Q1135" i="20" s="1"/>
  <c r="S1135" i="20" s="1"/>
  <c r="U1135" i="20" s="1"/>
  <c r="M1134" i="20"/>
  <c r="Q1134" i="20" s="1"/>
  <c r="S1134" i="20" s="1"/>
  <c r="U1134" i="20" s="1"/>
  <c r="J1142" i="20"/>
  <c r="M1142" i="20" s="1"/>
  <c r="Q1142" i="20" s="1"/>
  <c r="S1142" i="20" s="1"/>
  <c r="U1142" i="20" s="1"/>
  <c r="J1143" i="20"/>
  <c r="J887" i="20"/>
  <c r="J892" i="20" s="1"/>
  <c r="M882" i="20"/>
  <c r="I869" i="20"/>
  <c r="I867" i="20"/>
  <c r="O867" i="20" s="1"/>
  <c r="Q867" i="20" s="1"/>
  <c r="S867" i="20" s="1"/>
  <c r="U867" i="20" s="1"/>
  <c r="O864" i="20"/>
  <c r="Q864" i="20" s="1"/>
  <c r="I868" i="20"/>
  <c r="O868" i="20" s="1"/>
  <c r="Q868" i="20" s="1"/>
  <c r="S868" i="20" s="1"/>
  <c r="U868" i="20" s="1"/>
  <c r="I866" i="20"/>
  <c r="O866" i="20" s="1"/>
  <c r="Q866" i="20" s="1"/>
  <c r="S866" i="20" s="1"/>
  <c r="U866" i="20" s="1"/>
  <c r="J1039" i="20"/>
  <c r="M1038" i="20"/>
  <c r="Q1038" i="20" s="1"/>
  <c r="S1038" i="20" s="1"/>
  <c r="U1038" i="20" s="1"/>
  <c r="J896" i="20"/>
  <c r="M891" i="20"/>
  <c r="O420" i="20"/>
  <c r="Q420" i="20" s="1"/>
  <c r="S420" i="20" s="1"/>
  <c r="U420" i="20" s="1"/>
  <c r="I421" i="20"/>
  <c r="O291" i="20"/>
  <c r="I292" i="20"/>
  <c r="O292" i="20" s="1"/>
  <c r="J424" i="20"/>
  <c r="J425" i="20" s="1"/>
  <c r="M422" i="20"/>
  <c r="Q251" i="20"/>
  <c r="S251" i="20" s="1"/>
  <c r="U251" i="20" s="1"/>
  <c r="M324" i="24" l="1"/>
  <c r="Q324" i="24" s="1"/>
  <c r="S324" i="24" s="1"/>
  <c r="U324" i="24" s="1"/>
  <c r="J325" i="24"/>
  <c r="I317" i="24"/>
  <c r="I316" i="24"/>
  <c r="I314" i="24"/>
  <c r="I315" i="24"/>
  <c r="M447" i="24"/>
  <c r="Q447" i="24" s="1"/>
  <c r="S447" i="24" s="1"/>
  <c r="U447" i="24" s="1"/>
  <c r="J448" i="24"/>
  <c r="M382" i="24"/>
  <c r="Q382" i="24" s="1"/>
  <c r="S382" i="24" s="1"/>
  <c r="U382" i="24" s="1"/>
  <c r="J394" i="24"/>
  <c r="M507" i="24"/>
  <c r="Q507" i="24" s="1"/>
  <c r="S507" i="24" s="1"/>
  <c r="U507" i="24" s="1"/>
  <c r="J508" i="24"/>
  <c r="M508" i="24" s="1"/>
  <c r="Q508" i="24" s="1"/>
  <c r="S508" i="24" s="1"/>
  <c r="U508" i="24" s="1"/>
  <c r="M1038" i="24"/>
  <c r="Q1038" i="24" s="1"/>
  <c r="S1038" i="24" s="1"/>
  <c r="U1038" i="24" s="1"/>
  <c r="J1039" i="24"/>
  <c r="J282" i="24"/>
  <c r="M277" i="24"/>
  <c r="J901" i="24"/>
  <c r="J906" i="24" s="1"/>
  <c r="M896" i="24"/>
  <c r="J903" i="24"/>
  <c r="J908" i="24" s="1"/>
  <c r="M898" i="24"/>
  <c r="F416" i="24"/>
  <c r="D6" i="24"/>
  <c r="C5" i="24"/>
  <c r="M1064" i="24"/>
  <c r="Q1064" i="24" s="1"/>
  <c r="S1064" i="24" s="1"/>
  <c r="U1064" i="24" s="1"/>
  <c r="J1065" i="24"/>
  <c r="M1143" i="24"/>
  <c r="Q1143" i="24" s="1"/>
  <c r="S1143" i="24" s="1"/>
  <c r="U1143" i="24" s="1"/>
  <c r="J1145" i="24"/>
  <c r="J1146" i="24" s="1"/>
  <c r="M275" i="24"/>
  <c r="J280" i="24"/>
  <c r="J521" i="24"/>
  <c r="M520" i="24"/>
  <c r="Q520" i="24" s="1"/>
  <c r="S520" i="24" s="1"/>
  <c r="U520" i="24" s="1"/>
  <c r="I252" i="24"/>
  <c r="I250" i="24"/>
  <c r="O250" i="24" s="1"/>
  <c r="Q250" i="24" s="1"/>
  <c r="S250" i="24" s="1"/>
  <c r="U250" i="24" s="1"/>
  <c r="O247" i="24"/>
  <c r="Q247" i="24" s="1"/>
  <c r="I251" i="24"/>
  <c r="O251" i="24" s="1"/>
  <c r="Q251" i="24" s="1"/>
  <c r="S251" i="24" s="1"/>
  <c r="U251" i="24" s="1"/>
  <c r="I249" i="24"/>
  <c r="O249" i="24" s="1"/>
  <c r="Q249" i="24" s="1"/>
  <c r="S249" i="24" s="1"/>
  <c r="U249" i="24" s="1"/>
  <c r="I424" i="24"/>
  <c r="I425" i="24" s="1"/>
  <c r="O422" i="24"/>
  <c r="Q422" i="24" s="1"/>
  <c r="S422" i="24" s="1"/>
  <c r="U422" i="24" s="1"/>
  <c r="M279" i="24"/>
  <c r="J284" i="24"/>
  <c r="J289" i="24" s="1"/>
  <c r="J904" i="24"/>
  <c r="J909" i="24" s="1"/>
  <c r="M899" i="24"/>
  <c r="J942" i="24"/>
  <c r="M941" i="24"/>
  <c r="Q941" i="24" s="1"/>
  <c r="S941" i="24" s="1"/>
  <c r="U941" i="24" s="1"/>
  <c r="M1134" i="24"/>
  <c r="Q1134" i="24" s="1"/>
  <c r="S1134" i="24" s="1"/>
  <c r="U1134" i="24" s="1"/>
  <c r="J1135" i="24"/>
  <c r="M1135" i="24" s="1"/>
  <c r="Q1135" i="24" s="1"/>
  <c r="S1135" i="24" s="1"/>
  <c r="U1135" i="24" s="1"/>
  <c r="M281" i="24"/>
  <c r="J286" i="24"/>
  <c r="J291" i="24" s="1"/>
  <c r="J592" i="24"/>
  <c r="M590" i="24"/>
  <c r="Q590" i="24" s="1"/>
  <c r="S590" i="24" s="1"/>
  <c r="U590" i="24" s="1"/>
  <c r="I924" i="24"/>
  <c r="O923" i="24"/>
  <c r="J902" i="24"/>
  <c r="J907" i="24" s="1"/>
  <c r="M897" i="24"/>
  <c r="Q1142" i="24"/>
  <c r="S1142" i="24" s="1"/>
  <c r="U1142" i="24" s="1"/>
  <c r="J426" i="24"/>
  <c r="M425" i="24"/>
  <c r="I1145" i="24"/>
  <c r="O1143" i="24"/>
  <c r="I874" i="24"/>
  <c r="I873" i="24"/>
  <c r="I872" i="24"/>
  <c r="I871" i="24"/>
  <c r="O869" i="24"/>
  <c r="Q869" i="24" s="1"/>
  <c r="S869" i="24" s="1"/>
  <c r="U869" i="24" s="1"/>
  <c r="M999" i="24"/>
  <c r="Q999" i="24" s="1"/>
  <c r="S999" i="24" s="1"/>
  <c r="U999" i="24" s="1"/>
  <c r="J1011" i="24"/>
  <c r="I1043" i="24"/>
  <c r="O1042" i="24"/>
  <c r="M897" i="15"/>
  <c r="J902" i="15"/>
  <c r="J907" i="15" s="1"/>
  <c r="I1144" i="15"/>
  <c r="O1143" i="15"/>
  <c r="Q1140" i="15"/>
  <c r="S1140" i="15" s="1"/>
  <c r="G126" i="8"/>
  <c r="J125" i="8"/>
  <c r="N125" i="8" s="1"/>
  <c r="P125" i="8" s="1"/>
  <c r="I307" i="20"/>
  <c r="O306" i="20"/>
  <c r="J1219" i="20"/>
  <c r="M1217" i="20"/>
  <c r="Q1217" i="20" s="1"/>
  <c r="S1217" i="20" s="1"/>
  <c r="U1217" i="20" s="1"/>
  <c r="I1042" i="15"/>
  <c r="I1043" i="15" s="1"/>
  <c r="O1040" i="15"/>
  <c r="J282" i="20"/>
  <c r="M277" i="20"/>
  <c r="J592" i="20"/>
  <c r="M590" i="20"/>
  <c r="Q590" i="20" s="1"/>
  <c r="S590" i="20" s="1"/>
  <c r="U590" i="20" s="1"/>
  <c r="I1145" i="20"/>
  <c r="O1143" i="20"/>
  <c r="M894" i="15"/>
  <c r="J899" i="15"/>
  <c r="E184" i="11"/>
  <c r="H183" i="11"/>
  <c r="L183" i="11" s="1"/>
  <c r="N183" i="11" s="1"/>
  <c r="J901" i="20"/>
  <c r="J906" i="20" s="1"/>
  <c r="M896" i="20"/>
  <c r="I309" i="15"/>
  <c r="I310" i="15" s="1"/>
  <c r="I311" i="15" s="1"/>
  <c r="I312" i="15" s="1"/>
  <c r="O307" i="15"/>
  <c r="I1043" i="20"/>
  <c r="O1042" i="20"/>
  <c r="M282" i="15"/>
  <c r="J287" i="15"/>
  <c r="J292" i="15" s="1"/>
  <c r="M895" i="15"/>
  <c r="J900" i="15"/>
  <c r="J280" i="20"/>
  <c r="M275" i="20"/>
  <c r="J944" i="20"/>
  <c r="J945" i="20" s="1"/>
  <c r="M942" i="20"/>
  <c r="Q942" i="20" s="1"/>
  <c r="S942" i="20" s="1"/>
  <c r="U942" i="20" s="1"/>
  <c r="I254" i="20"/>
  <c r="O254" i="20" s="1"/>
  <c r="Q254" i="20" s="1"/>
  <c r="S254" i="20" s="1"/>
  <c r="U254" i="20" s="1"/>
  <c r="O252" i="20"/>
  <c r="Q252" i="20" s="1"/>
  <c r="S252" i="20" s="1"/>
  <c r="U252" i="20" s="1"/>
  <c r="I256" i="20"/>
  <c r="O256" i="20" s="1"/>
  <c r="Q256" i="20" s="1"/>
  <c r="S256" i="20" s="1"/>
  <c r="U256" i="20" s="1"/>
  <c r="I257" i="20"/>
  <c r="I255" i="20"/>
  <c r="O255" i="20" s="1"/>
  <c r="Q255" i="20" s="1"/>
  <c r="S255" i="20" s="1"/>
  <c r="U255" i="20" s="1"/>
  <c r="M448" i="20"/>
  <c r="Q448" i="20" s="1"/>
  <c r="S448" i="20" s="1"/>
  <c r="U448" i="20" s="1"/>
  <c r="J449" i="20"/>
  <c r="M516" i="15"/>
  <c r="J518" i="15"/>
  <c r="J519" i="15" s="1"/>
  <c r="J1136" i="15"/>
  <c r="M1136" i="15" s="1"/>
  <c r="Q1136" i="15" s="1"/>
  <c r="S1136" i="15" s="1"/>
  <c r="M1135" i="15"/>
  <c r="Q1135" i="15" s="1"/>
  <c r="S1135" i="15" s="1"/>
  <c r="I872" i="20"/>
  <c r="I871" i="20"/>
  <c r="O869" i="20"/>
  <c r="Q869" i="20" s="1"/>
  <c r="S869" i="20" s="1"/>
  <c r="U869" i="20" s="1"/>
  <c r="I874" i="20"/>
  <c r="I873" i="20"/>
  <c r="I422" i="20"/>
  <c r="O421" i="20"/>
  <c r="Q421" i="20" s="1"/>
  <c r="S421" i="20" s="1"/>
  <c r="U421" i="20" s="1"/>
  <c r="J325" i="15"/>
  <c r="M324" i="15"/>
  <c r="Q324" i="15" s="1"/>
  <c r="S324" i="15" s="1"/>
  <c r="J430" i="15"/>
  <c r="M429" i="15"/>
  <c r="Q429" i="15" s="1"/>
  <c r="S429" i="15" s="1"/>
  <c r="I516" i="15"/>
  <c r="O515" i="15"/>
  <c r="Q515" i="15" s="1"/>
  <c r="S515" i="15" s="1"/>
  <c r="M281" i="20"/>
  <c r="J286" i="20"/>
  <c r="J291" i="20" s="1"/>
  <c r="M1065" i="20"/>
  <c r="Q1065" i="20" s="1"/>
  <c r="S1065" i="20" s="1"/>
  <c r="U1065" i="20" s="1"/>
  <c r="J1066" i="20"/>
  <c r="J1066" i="15"/>
  <c r="M1065" i="15"/>
  <c r="Q1065" i="15" s="1"/>
  <c r="S1065" i="15" s="1"/>
  <c r="G184" i="8"/>
  <c r="J183" i="8"/>
  <c r="N183" i="8" s="1"/>
  <c r="P183" i="8" s="1"/>
  <c r="F416" i="20"/>
  <c r="C5" i="20"/>
  <c r="D6" i="20"/>
  <c r="J520" i="20"/>
  <c r="M519" i="20"/>
  <c r="Q519" i="20" s="1"/>
  <c r="S519" i="20" s="1"/>
  <c r="U519" i="20" s="1"/>
  <c r="I262" i="15"/>
  <c r="I260" i="15"/>
  <c r="I261" i="15"/>
  <c r="I259" i="15"/>
  <c r="I424" i="15"/>
  <c r="I425" i="15" s="1"/>
  <c r="O422" i="15"/>
  <c r="Q422" i="15" s="1"/>
  <c r="S422" i="15" s="1"/>
  <c r="J590" i="15"/>
  <c r="M588" i="15"/>
  <c r="Q588" i="15" s="1"/>
  <c r="S588" i="15" s="1"/>
  <c r="J947" i="15"/>
  <c r="M946" i="15"/>
  <c r="Q946" i="15" s="1"/>
  <c r="S946" i="15" s="1"/>
  <c r="M1039" i="15"/>
  <c r="Q1039" i="15" s="1"/>
  <c r="S1039" i="15" s="1"/>
  <c r="J1040" i="15"/>
  <c r="O515" i="20"/>
  <c r="Q515" i="20" s="1"/>
  <c r="S515" i="20" s="1"/>
  <c r="U515" i="20" s="1"/>
  <c r="I516" i="20"/>
  <c r="J285" i="15"/>
  <c r="J290" i="15" s="1"/>
  <c r="M280" i="15"/>
  <c r="J284" i="15"/>
  <c r="J289" i="15" s="1"/>
  <c r="M279" i="15"/>
  <c r="J286" i="15"/>
  <c r="J291" i="15" s="1"/>
  <c r="M281" i="15"/>
  <c r="J1013" i="15"/>
  <c r="M1012" i="15"/>
  <c r="Q1012" i="15" s="1"/>
  <c r="S1012" i="15" s="1"/>
  <c r="E125" i="11"/>
  <c r="H124" i="11"/>
  <c r="L124" i="11" s="1"/>
  <c r="N124" i="11" s="1"/>
  <c r="M892" i="20"/>
  <c r="J897" i="20"/>
  <c r="J426" i="20"/>
  <c r="M425" i="20"/>
  <c r="J1041" i="20"/>
  <c r="J1042" i="20" s="1"/>
  <c r="M1039" i="20"/>
  <c r="Q1039" i="20" s="1"/>
  <c r="S1039" i="20" s="1"/>
  <c r="U1039" i="20" s="1"/>
  <c r="J1145" i="20"/>
  <c r="J1146" i="20" s="1"/>
  <c r="M1143" i="20"/>
  <c r="Q1143" i="20" s="1"/>
  <c r="S1143" i="20" s="1"/>
  <c r="U1143" i="20" s="1"/>
  <c r="F416" i="15"/>
  <c r="C5" i="15"/>
  <c r="D6" i="15"/>
  <c r="I875" i="15"/>
  <c r="O870" i="15"/>
  <c r="Q870" i="15" s="1"/>
  <c r="S870" i="15" s="1"/>
  <c r="I873" i="15"/>
  <c r="I874" i="15"/>
  <c r="I872" i="15"/>
  <c r="M394" i="20"/>
  <c r="Q394" i="20" s="1"/>
  <c r="S394" i="20" s="1"/>
  <c r="U394" i="20" s="1"/>
  <c r="J395" i="20"/>
  <c r="J327" i="20"/>
  <c r="J328" i="20" s="1"/>
  <c r="M325" i="20"/>
  <c r="Q325" i="20" s="1"/>
  <c r="S325" i="20" s="1"/>
  <c r="U325" i="20" s="1"/>
  <c r="M899" i="20"/>
  <c r="J904" i="20"/>
  <c r="J909" i="20" s="1"/>
  <c r="M394" i="15"/>
  <c r="Q394" i="15" s="1"/>
  <c r="S394" i="15" s="1"/>
  <c r="J395" i="15"/>
  <c r="O924" i="15"/>
  <c r="I925" i="15"/>
  <c r="J1144" i="15"/>
  <c r="J1143" i="15"/>
  <c r="M1143" i="15" s="1"/>
  <c r="Q1143" i="15" s="1"/>
  <c r="S1143" i="15" s="1"/>
  <c r="M898" i="20"/>
  <c r="J903" i="20"/>
  <c r="J908" i="20" s="1"/>
  <c r="I926" i="20"/>
  <c r="I927" i="20" s="1"/>
  <c r="I928" i="20" s="1"/>
  <c r="I929" i="20" s="1"/>
  <c r="O924" i="20"/>
  <c r="M447" i="15"/>
  <c r="Q447" i="15" s="1"/>
  <c r="S447" i="15" s="1"/>
  <c r="J448" i="15"/>
  <c r="J284" i="20"/>
  <c r="J289" i="20" s="1"/>
  <c r="M279" i="20"/>
  <c r="M507" i="20"/>
  <c r="Q507" i="20" s="1"/>
  <c r="S507" i="20" s="1"/>
  <c r="U507" i="20" s="1"/>
  <c r="J508" i="20"/>
  <c r="M508" i="20" s="1"/>
  <c r="Q508" i="20" s="1"/>
  <c r="S508" i="20" s="1"/>
  <c r="U508" i="20" s="1"/>
  <c r="M999" i="20"/>
  <c r="Q999" i="20" s="1"/>
  <c r="S999" i="20" s="1"/>
  <c r="U999" i="20" s="1"/>
  <c r="J1011" i="20"/>
  <c r="M898" i="15"/>
  <c r="J903" i="15"/>
  <c r="J908" i="15" s="1"/>
  <c r="J1221" i="15"/>
  <c r="J1226" i="15" s="1"/>
  <c r="J1227" i="15" s="1"/>
  <c r="J1228" i="15" s="1"/>
  <c r="J1229" i="15" s="1"/>
  <c r="J1230" i="15" s="1"/>
  <c r="M1220" i="15"/>
  <c r="Q1220" i="15" s="1"/>
  <c r="S1220" i="15" s="1"/>
  <c r="I1044" i="24" l="1"/>
  <c r="O1043" i="24"/>
  <c r="I879" i="24"/>
  <c r="I878" i="24"/>
  <c r="O878" i="24" s="1"/>
  <c r="Q878" i="24" s="1"/>
  <c r="S878" i="24" s="1"/>
  <c r="U878" i="24" s="1"/>
  <c r="I877" i="24"/>
  <c r="O877" i="24" s="1"/>
  <c r="Q877" i="24" s="1"/>
  <c r="S877" i="24" s="1"/>
  <c r="U877" i="24" s="1"/>
  <c r="I876" i="24"/>
  <c r="O876" i="24" s="1"/>
  <c r="Q876" i="24" s="1"/>
  <c r="S876" i="24" s="1"/>
  <c r="U876" i="24" s="1"/>
  <c r="M592" i="24"/>
  <c r="Q592" i="24" s="1"/>
  <c r="S592" i="24" s="1"/>
  <c r="U592" i="24" s="1"/>
  <c r="J593" i="24"/>
  <c r="J598" i="24" s="1"/>
  <c r="J599" i="24" s="1"/>
  <c r="J600" i="24" s="1"/>
  <c r="J601" i="24" s="1"/>
  <c r="J602" i="24" s="1"/>
  <c r="J914" i="24"/>
  <c r="M909" i="24"/>
  <c r="Q909" i="24" s="1"/>
  <c r="S909" i="24" s="1"/>
  <c r="U909" i="24" s="1"/>
  <c r="I426" i="24"/>
  <c r="O425" i="24"/>
  <c r="Q425" i="24" s="1"/>
  <c r="S425" i="24" s="1"/>
  <c r="U425" i="24" s="1"/>
  <c r="J522" i="24"/>
  <c r="M521" i="24"/>
  <c r="Q521" i="24" s="1"/>
  <c r="S521" i="24" s="1"/>
  <c r="U521" i="24" s="1"/>
  <c r="C6" i="24"/>
  <c r="D7" i="24"/>
  <c r="M1011" i="24"/>
  <c r="Q1011" i="24" s="1"/>
  <c r="S1011" i="24" s="1"/>
  <c r="U1011" i="24" s="1"/>
  <c r="J1012" i="24"/>
  <c r="J427" i="24"/>
  <c r="J429" i="24" s="1"/>
  <c r="M426" i="24"/>
  <c r="M907" i="24"/>
  <c r="Q907" i="24" s="1"/>
  <c r="S907" i="24" s="1"/>
  <c r="U907" i="24" s="1"/>
  <c r="J912" i="24"/>
  <c r="I926" i="24"/>
  <c r="I927" i="24" s="1"/>
  <c r="I928" i="24" s="1"/>
  <c r="I929" i="24" s="1"/>
  <c r="O924" i="24"/>
  <c r="J296" i="24"/>
  <c r="M291" i="24"/>
  <c r="Q291" i="24" s="1"/>
  <c r="S291" i="24" s="1"/>
  <c r="U291" i="24" s="1"/>
  <c r="J294" i="24"/>
  <c r="M289" i="24"/>
  <c r="Q289" i="24" s="1"/>
  <c r="S289" i="24" s="1"/>
  <c r="U289" i="24" s="1"/>
  <c r="M280" i="24"/>
  <c r="J285" i="24"/>
  <c r="J290" i="24" s="1"/>
  <c r="M1065" i="24"/>
  <c r="Q1065" i="24" s="1"/>
  <c r="S1065" i="24" s="1"/>
  <c r="U1065" i="24" s="1"/>
  <c r="J1066" i="24"/>
  <c r="J911" i="24"/>
  <c r="M906" i="24"/>
  <c r="Q906" i="24" s="1"/>
  <c r="S906" i="24" s="1"/>
  <c r="U906" i="24" s="1"/>
  <c r="J327" i="24"/>
  <c r="J328" i="24" s="1"/>
  <c r="M325" i="24"/>
  <c r="Q325" i="24" s="1"/>
  <c r="S325" i="24" s="1"/>
  <c r="U325" i="24" s="1"/>
  <c r="M1039" i="24"/>
  <c r="Q1039" i="24" s="1"/>
  <c r="S1039" i="24" s="1"/>
  <c r="U1039" i="24" s="1"/>
  <c r="J1041" i="24"/>
  <c r="J1042" i="24" s="1"/>
  <c r="J944" i="24"/>
  <c r="J945" i="24" s="1"/>
  <c r="M942" i="24"/>
  <c r="Q942" i="24" s="1"/>
  <c r="S942" i="24" s="1"/>
  <c r="U942" i="24" s="1"/>
  <c r="I257" i="24"/>
  <c r="I255" i="24"/>
  <c r="O255" i="24" s="1"/>
  <c r="Q255" i="24" s="1"/>
  <c r="S255" i="24" s="1"/>
  <c r="U255" i="24" s="1"/>
  <c r="I254" i="24"/>
  <c r="O254" i="24" s="1"/>
  <c r="Q254" i="24" s="1"/>
  <c r="S254" i="24" s="1"/>
  <c r="U254" i="24" s="1"/>
  <c r="O252" i="24"/>
  <c r="Q252" i="24" s="1"/>
  <c r="S252" i="24" s="1"/>
  <c r="U252" i="24" s="1"/>
  <c r="I256" i="24"/>
  <c r="O256" i="24" s="1"/>
  <c r="Q256" i="24" s="1"/>
  <c r="S256" i="24" s="1"/>
  <c r="U256" i="24" s="1"/>
  <c r="M394" i="24"/>
  <c r="Q394" i="24" s="1"/>
  <c r="S394" i="24" s="1"/>
  <c r="U394" i="24" s="1"/>
  <c r="J395" i="24"/>
  <c r="M1146" i="24"/>
  <c r="Q1146" i="24" s="1"/>
  <c r="S1146" i="24" s="1"/>
  <c r="U1146" i="24" s="1"/>
  <c r="J1147" i="24"/>
  <c r="M908" i="24"/>
  <c r="Q908" i="24" s="1"/>
  <c r="S908" i="24" s="1"/>
  <c r="U908" i="24" s="1"/>
  <c r="J913" i="24"/>
  <c r="M282" i="24"/>
  <c r="J287" i="24"/>
  <c r="J292" i="24" s="1"/>
  <c r="M448" i="24"/>
  <c r="Q448" i="24" s="1"/>
  <c r="S448" i="24" s="1"/>
  <c r="U448" i="24" s="1"/>
  <c r="J449" i="24"/>
  <c r="J294" i="20"/>
  <c r="M289" i="20"/>
  <c r="Q289" i="20" s="1"/>
  <c r="S289" i="20" s="1"/>
  <c r="U289" i="20" s="1"/>
  <c r="I934" i="20"/>
  <c r="I933" i="20"/>
  <c r="I932" i="20"/>
  <c r="I931" i="20"/>
  <c r="J396" i="15"/>
  <c r="M395" i="15"/>
  <c r="Q395" i="15" s="1"/>
  <c r="S395" i="15" s="1"/>
  <c r="I880" i="15"/>
  <c r="I879" i="15"/>
  <c r="I878" i="15"/>
  <c r="I877" i="15"/>
  <c r="J1043" i="20"/>
  <c r="M1042" i="20"/>
  <c r="Q1042" i="20" s="1"/>
  <c r="S1042" i="20" s="1"/>
  <c r="U1042" i="20" s="1"/>
  <c r="M1013" i="15"/>
  <c r="Q1013" i="15" s="1"/>
  <c r="S1013" i="15" s="1"/>
  <c r="J1014" i="15"/>
  <c r="J294" i="15"/>
  <c r="M289" i="15"/>
  <c r="Q289" i="15" s="1"/>
  <c r="S289" i="15" s="1"/>
  <c r="D7" i="20"/>
  <c r="C6" i="20"/>
  <c r="G185" i="8"/>
  <c r="J184" i="8"/>
  <c r="N184" i="8" s="1"/>
  <c r="P184" i="8" s="1"/>
  <c r="M1066" i="20"/>
  <c r="Q1066" i="20" s="1"/>
  <c r="S1066" i="20" s="1"/>
  <c r="U1066" i="20" s="1"/>
  <c r="J1068" i="20"/>
  <c r="J432" i="15"/>
  <c r="J433" i="15" s="1"/>
  <c r="M430" i="15"/>
  <c r="Q430" i="15" s="1"/>
  <c r="S430" i="15" s="1"/>
  <c r="I424" i="20"/>
  <c r="I425" i="20" s="1"/>
  <c r="O422" i="20"/>
  <c r="Q422" i="20" s="1"/>
  <c r="S422" i="20" s="1"/>
  <c r="U422" i="20" s="1"/>
  <c r="M292" i="15"/>
  <c r="Q292" i="15" s="1"/>
  <c r="S292" i="15" s="1"/>
  <c r="J297" i="15"/>
  <c r="E185" i="11"/>
  <c r="H184" i="11"/>
  <c r="L184" i="11" s="1"/>
  <c r="N184" i="11" s="1"/>
  <c r="M592" i="20"/>
  <c r="Q592" i="20" s="1"/>
  <c r="S592" i="20" s="1"/>
  <c r="U592" i="20" s="1"/>
  <c r="J593" i="20"/>
  <c r="J598" i="20" s="1"/>
  <c r="J599" i="20" s="1"/>
  <c r="J600" i="20" s="1"/>
  <c r="J601" i="20" s="1"/>
  <c r="J602" i="20" s="1"/>
  <c r="I1044" i="15"/>
  <c r="O1043" i="15"/>
  <c r="G127" i="8"/>
  <c r="J126" i="8"/>
  <c r="N126" i="8" s="1"/>
  <c r="P126" i="8" s="1"/>
  <c r="I1146" i="15"/>
  <c r="O1144" i="15"/>
  <c r="J913" i="20"/>
  <c r="M908" i="20"/>
  <c r="Q908" i="20" s="1"/>
  <c r="S908" i="20" s="1"/>
  <c r="U908" i="20" s="1"/>
  <c r="J1146" i="15"/>
  <c r="J1147" i="15" s="1"/>
  <c r="M1144" i="15"/>
  <c r="Q1144" i="15" s="1"/>
  <c r="S1144" i="15" s="1"/>
  <c r="J948" i="15"/>
  <c r="M947" i="15"/>
  <c r="Q947" i="15" s="1"/>
  <c r="S947" i="15" s="1"/>
  <c r="I426" i="15"/>
  <c r="O425" i="15"/>
  <c r="Q425" i="15" s="1"/>
  <c r="S425" i="15" s="1"/>
  <c r="I267" i="15"/>
  <c r="I266" i="15"/>
  <c r="O266" i="15" s="1"/>
  <c r="Q266" i="15" s="1"/>
  <c r="S266" i="15" s="1"/>
  <c r="I265" i="15"/>
  <c r="O265" i="15" s="1"/>
  <c r="Q265" i="15" s="1"/>
  <c r="S265" i="15" s="1"/>
  <c r="I264" i="15"/>
  <c r="O264" i="15" s="1"/>
  <c r="Q264" i="15" s="1"/>
  <c r="S264" i="15" s="1"/>
  <c r="J285" i="20"/>
  <c r="J290" i="20" s="1"/>
  <c r="M280" i="20"/>
  <c r="J904" i="15"/>
  <c r="J909" i="15" s="1"/>
  <c r="M899" i="15"/>
  <c r="I309" i="20"/>
  <c r="I310" i="20" s="1"/>
  <c r="I311" i="20" s="1"/>
  <c r="I312" i="20" s="1"/>
  <c r="O307" i="20"/>
  <c r="M907" i="15"/>
  <c r="Q907" i="15" s="1"/>
  <c r="S907" i="15" s="1"/>
  <c r="J912" i="15"/>
  <c r="J913" i="15"/>
  <c r="M908" i="15"/>
  <c r="Q908" i="15" s="1"/>
  <c r="S908" i="15" s="1"/>
  <c r="J449" i="15"/>
  <c r="M448" i="15"/>
  <c r="Q448" i="15" s="1"/>
  <c r="S448" i="15" s="1"/>
  <c r="J329" i="20"/>
  <c r="M328" i="20"/>
  <c r="Q328" i="20" s="1"/>
  <c r="S328" i="20" s="1"/>
  <c r="U328" i="20" s="1"/>
  <c r="M1011" i="20"/>
  <c r="Q1011" i="20" s="1"/>
  <c r="S1011" i="20" s="1"/>
  <c r="U1011" i="20" s="1"/>
  <c r="J1012" i="20"/>
  <c r="I927" i="15"/>
  <c r="I928" i="15" s="1"/>
  <c r="I929" i="15" s="1"/>
  <c r="I930" i="15" s="1"/>
  <c r="O925" i="15"/>
  <c r="J914" i="20"/>
  <c r="M909" i="20"/>
  <c r="Q909" i="20" s="1"/>
  <c r="S909" i="20" s="1"/>
  <c r="U909" i="20" s="1"/>
  <c r="M395" i="20"/>
  <c r="Q395" i="20" s="1"/>
  <c r="S395" i="20" s="1"/>
  <c r="U395" i="20" s="1"/>
  <c r="J396" i="20"/>
  <c r="C6" i="15"/>
  <c r="D7" i="15"/>
  <c r="M1146" i="20"/>
  <c r="Q1146" i="20" s="1"/>
  <c r="S1146" i="20" s="1"/>
  <c r="U1146" i="20" s="1"/>
  <c r="J1147" i="20"/>
  <c r="J427" i="20"/>
  <c r="J429" i="20" s="1"/>
  <c r="M426" i="20"/>
  <c r="E126" i="11"/>
  <c r="H125" i="11"/>
  <c r="L125" i="11" s="1"/>
  <c r="N125" i="11" s="1"/>
  <c r="M291" i="15"/>
  <c r="Q291" i="15" s="1"/>
  <c r="S291" i="15" s="1"/>
  <c r="J296" i="15"/>
  <c r="J295" i="15"/>
  <c r="M290" i="15"/>
  <c r="Q290" i="15" s="1"/>
  <c r="S290" i="15" s="1"/>
  <c r="M1040" i="15"/>
  <c r="Q1040" i="15" s="1"/>
  <c r="S1040" i="15" s="1"/>
  <c r="J1042" i="15"/>
  <c r="J1043" i="15" s="1"/>
  <c r="M1066" i="15"/>
  <c r="Q1066" i="15" s="1"/>
  <c r="S1066" i="15" s="1"/>
  <c r="J1067" i="15"/>
  <c r="I518" i="15"/>
  <c r="O516" i="15"/>
  <c r="J327" i="15"/>
  <c r="J328" i="15" s="1"/>
  <c r="M325" i="15"/>
  <c r="Q325" i="15" s="1"/>
  <c r="S325" i="15" s="1"/>
  <c r="M519" i="15"/>
  <c r="Q519" i="15" s="1"/>
  <c r="S519" i="15" s="1"/>
  <c r="J520" i="15"/>
  <c r="O257" i="20"/>
  <c r="Q257" i="20" s="1"/>
  <c r="I262" i="20"/>
  <c r="I261" i="20"/>
  <c r="O261" i="20" s="1"/>
  <c r="Q261" i="20" s="1"/>
  <c r="S261" i="20" s="1"/>
  <c r="U261" i="20" s="1"/>
  <c r="I260" i="20"/>
  <c r="O260" i="20" s="1"/>
  <c r="Q260" i="20" s="1"/>
  <c r="S260" i="20" s="1"/>
  <c r="U260" i="20" s="1"/>
  <c r="I259" i="20"/>
  <c r="O259" i="20" s="1"/>
  <c r="Q259" i="20" s="1"/>
  <c r="S259" i="20" s="1"/>
  <c r="U259" i="20" s="1"/>
  <c r="M900" i="15"/>
  <c r="J905" i="15"/>
  <c r="J910" i="15" s="1"/>
  <c r="J911" i="20"/>
  <c r="M906" i="20"/>
  <c r="Q906" i="20" s="1"/>
  <c r="S906" i="20" s="1"/>
  <c r="U906" i="20" s="1"/>
  <c r="J287" i="20"/>
  <c r="J292" i="20" s="1"/>
  <c r="M282" i="20"/>
  <c r="J1220" i="20"/>
  <c r="J1225" i="20" s="1"/>
  <c r="J1226" i="20" s="1"/>
  <c r="J1227" i="20" s="1"/>
  <c r="J1228" i="20" s="1"/>
  <c r="J1229" i="20" s="1"/>
  <c r="M1219" i="20"/>
  <c r="Q1219" i="20" s="1"/>
  <c r="S1219" i="20" s="1"/>
  <c r="U1219" i="20" s="1"/>
  <c r="J902" i="20"/>
  <c r="J907" i="20" s="1"/>
  <c r="M897" i="20"/>
  <c r="I518" i="20"/>
  <c r="O516" i="20"/>
  <c r="Q516" i="20" s="1"/>
  <c r="S516" i="20" s="1"/>
  <c r="U516" i="20" s="1"/>
  <c r="M590" i="15"/>
  <c r="Q590" i="15" s="1"/>
  <c r="S590" i="15" s="1"/>
  <c r="J592" i="15"/>
  <c r="J521" i="20"/>
  <c r="M520" i="20"/>
  <c r="Q520" i="20" s="1"/>
  <c r="S520" i="20" s="1"/>
  <c r="U520" i="20" s="1"/>
  <c r="M291" i="20"/>
  <c r="Q291" i="20" s="1"/>
  <c r="S291" i="20" s="1"/>
  <c r="U291" i="20" s="1"/>
  <c r="J296" i="20"/>
  <c r="I879" i="20"/>
  <c r="I878" i="20"/>
  <c r="O878" i="20" s="1"/>
  <c r="Q878" i="20" s="1"/>
  <c r="S878" i="20" s="1"/>
  <c r="U878" i="20" s="1"/>
  <c r="I877" i="20"/>
  <c r="O877" i="20" s="1"/>
  <c r="Q877" i="20" s="1"/>
  <c r="S877" i="20" s="1"/>
  <c r="U877" i="20" s="1"/>
  <c r="I876" i="20"/>
  <c r="O876" i="20" s="1"/>
  <c r="Q876" i="20" s="1"/>
  <c r="S876" i="20" s="1"/>
  <c r="U876" i="20" s="1"/>
  <c r="Q516" i="15"/>
  <c r="S516" i="15" s="1"/>
  <c r="M449" i="20"/>
  <c r="Q449" i="20" s="1"/>
  <c r="S449" i="20" s="1"/>
  <c r="U449" i="20" s="1"/>
  <c r="J451" i="20"/>
  <c r="J946" i="20"/>
  <c r="M945" i="20"/>
  <c r="Q945" i="20" s="1"/>
  <c r="S945" i="20" s="1"/>
  <c r="U945" i="20" s="1"/>
  <c r="I1044" i="20"/>
  <c r="O1043" i="20"/>
  <c r="I314" i="15"/>
  <c r="I317" i="15"/>
  <c r="I316" i="15"/>
  <c r="I315" i="15"/>
  <c r="I933" i="24" l="1"/>
  <c r="I932" i="24"/>
  <c r="I931" i="24"/>
  <c r="I934" i="24"/>
  <c r="M429" i="24"/>
  <c r="Q429" i="24" s="1"/>
  <c r="S429" i="24" s="1"/>
  <c r="U429" i="24" s="1"/>
  <c r="J430" i="24"/>
  <c r="O426" i="24"/>
  <c r="Q426" i="24" s="1"/>
  <c r="S426" i="24" s="1"/>
  <c r="U426" i="24" s="1"/>
  <c r="I427" i="24"/>
  <c r="M395" i="24"/>
  <c r="Q395" i="24" s="1"/>
  <c r="S395" i="24" s="1"/>
  <c r="U395" i="24" s="1"/>
  <c r="J396" i="24"/>
  <c r="J295" i="24"/>
  <c r="M290" i="24"/>
  <c r="Q290" i="24" s="1"/>
  <c r="S290" i="24" s="1"/>
  <c r="U290" i="24" s="1"/>
  <c r="M912" i="24"/>
  <c r="Q912" i="24" s="1"/>
  <c r="S912" i="24" s="1"/>
  <c r="U912" i="24" s="1"/>
  <c r="J917" i="24"/>
  <c r="M1012" i="24"/>
  <c r="Q1012" i="24" s="1"/>
  <c r="S1012" i="24" s="1"/>
  <c r="U1012" i="24" s="1"/>
  <c r="J1013" i="24"/>
  <c r="I883" i="24"/>
  <c r="O883" i="24" s="1"/>
  <c r="Q883" i="24" s="1"/>
  <c r="S883" i="24" s="1"/>
  <c r="U883" i="24" s="1"/>
  <c r="I882" i="24"/>
  <c r="O882" i="24" s="1"/>
  <c r="Q882" i="24" s="1"/>
  <c r="S882" i="24" s="1"/>
  <c r="U882" i="24" s="1"/>
  <c r="I881" i="24"/>
  <c r="O881" i="24" s="1"/>
  <c r="Q881" i="24" s="1"/>
  <c r="S881" i="24" s="1"/>
  <c r="U881" i="24" s="1"/>
  <c r="O879" i="24"/>
  <c r="Q879" i="24" s="1"/>
  <c r="S879" i="24" s="1"/>
  <c r="U879" i="24" s="1"/>
  <c r="I884" i="24"/>
  <c r="M449" i="24"/>
  <c r="Q449" i="24" s="1"/>
  <c r="S449" i="24" s="1"/>
  <c r="U449" i="24" s="1"/>
  <c r="J451" i="24"/>
  <c r="M913" i="24"/>
  <c r="Q913" i="24" s="1"/>
  <c r="S913" i="24" s="1"/>
  <c r="U913" i="24" s="1"/>
  <c r="J918" i="24"/>
  <c r="M1042" i="24"/>
  <c r="Q1042" i="24" s="1"/>
  <c r="S1042" i="24" s="1"/>
  <c r="U1042" i="24" s="1"/>
  <c r="J1043" i="24"/>
  <c r="J297" i="24"/>
  <c r="M292" i="24"/>
  <c r="Q292" i="24" s="1"/>
  <c r="S292" i="24" s="1"/>
  <c r="U292" i="24" s="1"/>
  <c r="M1147" i="24"/>
  <c r="Q1147" i="24" s="1"/>
  <c r="S1147" i="24" s="1"/>
  <c r="U1147" i="24" s="1"/>
  <c r="J1148" i="24"/>
  <c r="J946" i="24"/>
  <c r="M945" i="24"/>
  <c r="Q945" i="24" s="1"/>
  <c r="S945" i="24" s="1"/>
  <c r="U945" i="24" s="1"/>
  <c r="J916" i="24"/>
  <c r="M911" i="24"/>
  <c r="Q911" i="24" s="1"/>
  <c r="S911" i="24" s="1"/>
  <c r="U911" i="24" s="1"/>
  <c r="J301" i="24"/>
  <c r="M296" i="24"/>
  <c r="Q296" i="24" s="1"/>
  <c r="S296" i="24" s="1"/>
  <c r="U296" i="24" s="1"/>
  <c r="J523" i="24"/>
  <c r="J525" i="24" s="1"/>
  <c r="J527" i="24" s="1"/>
  <c r="M522" i="24"/>
  <c r="Q522" i="24" s="1"/>
  <c r="S522" i="24" s="1"/>
  <c r="U522" i="24" s="1"/>
  <c r="J919" i="24"/>
  <c r="M914" i="24"/>
  <c r="Q914" i="24" s="1"/>
  <c r="S914" i="24" s="1"/>
  <c r="U914" i="24" s="1"/>
  <c r="J329" i="24"/>
  <c r="M328" i="24"/>
  <c r="Q328" i="24" s="1"/>
  <c r="S328" i="24" s="1"/>
  <c r="U328" i="24" s="1"/>
  <c r="J299" i="24"/>
  <c r="M294" i="24"/>
  <c r="Q294" i="24" s="1"/>
  <c r="S294" i="24" s="1"/>
  <c r="U294" i="24" s="1"/>
  <c r="O257" i="24"/>
  <c r="Q257" i="24" s="1"/>
  <c r="I262" i="24"/>
  <c r="I261" i="24"/>
  <c r="O261" i="24" s="1"/>
  <c r="Q261" i="24" s="1"/>
  <c r="S261" i="24" s="1"/>
  <c r="U261" i="24" s="1"/>
  <c r="I260" i="24"/>
  <c r="O260" i="24" s="1"/>
  <c r="Q260" i="24" s="1"/>
  <c r="S260" i="24" s="1"/>
  <c r="U260" i="24" s="1"/>
  <c r="I259" i="24"/>
  <c r="O259" i="24" s="1"/>
  <c r="Q259" i="24" s="1"/>
  <c r="S259" i="24" s="1"/>
  <c r="U259" i="24" s="1"/>
  <c r="M1066" i="24"/>
  <c r="Q1066" i="24" s="1"/>
  <c r="S1066" i="24" s="1"/>
  <c r="U1066" i="24" s="1"/>
  <c r="J1068" i="24"/>
  <c r="D8" i="24"/>
  <c r="C7" i="24"/>
  <c r="J522" i="20"/>
  <c r="M521" i="20"/>
  <c r="Q521" i="20" s="1"/>
  <c r="S521" i="20" s="1"/>
  <c r="U521" i="20" s="1"/>
  <c r="M520" i="15"/>
  <c r="Q520" i="15" s="1"/>
  <c r="S520" i="15" s="1"/>
  <c r="J521" i="15"/>
  <c r="M1043" i="15"/>
  <c r="Q1043" i="15" s="1"/>
  <c r="S1043" i="15" s="1"/>
  <c r="J1044" i="15"/>
  <c r="J301" i="15"/>
  <c r="M296" i="15"/>
  <c r="Q296" i="15" s="1"/>
  <c r="S296" i="15" s="1"/>
  <c r="F502" i="15"/>
  <c r="C7" i="15"/>
  <c r="D8" i="15"/>
  <c r="M329" i="20"/>
  <c r="Q329" i="20" s="1"/>
  <c r="S329" i="20" s="1"/>
  <c r="U329" i="20" s="1"/>
  <c r="J330" i="20"/>
  <c r="J918" i="20"/>
  <c r="M913" i="20"/>
  <c r="Q913" i="20" s="1"/>
  <c r="S913" i="20" s="1"/>
  <c r="U913" i="20" s="1"/>
  <c r="G128" i="8"/>
  <c r="J127" i="8"/>
  <c r="N127" i="8" s="1"/>
  <c r="P127" i="8" s="1"/>
  <c r="D8" i="20"/>
  <c r="C7" i="20"/>
  <c r="I881" i="20"/>
  <c r="O881" i="20" s="1"/>
  <c r="Q881" i="20" s="1"/>
  <c r="S881" i="20" s="1"/>
  <c r="U881" i="20" s="1"/>
  <c r="O879" i="20"/>
  <c r="Q879" i="20" s="1"/>
  <c r="S879" i="20" s="1"/>
  <c r="U879" i="20" s="1"/>
  <c r="I884" i="20"/>
  <c r="I883" i="20"/>
  <c r="O883" i="20" s="1"/>
  <c r="Q883" i="20" s="1"/>
  <c r="S883" i="20" s="1"/>
  <c r="U883" i="20" s="1"/>
  <c r="I882" i="20"/>
  <c r="O882" i="20" s="1"/>
  <c r="Q882" i="20" s="1"/>
  <c r="S882" i="20" s="1"/>
  <c r="U882" i="20" s="1"/>
  <c r="J916" i="20"/>
  <c r="M911" i="20"/>
  <c r="Q911" i="20" s="1"/>
  <c r="S911" i="20" s="1"/>
  <c r="U911" i="20" s="1"/>
  <c r="J947" i="20"/>
  <c r="M946" i="20"/>
  <c r="Q946" i="20" s="1"/>
  <c r="S946" i="20" s="1"/>
  <c r="U946" i="20" s="1"/>
  <c r="M296" i="20"/>
  <c r="Q296" i="20" s="1"/>
  <c r="S296" i="20" s="1"/>
  <c r="U296" i="20" s="1"/>
  <c r="J301" i="20"/>
  <c r="J593" i="15"/>
  <c r="J598" i="15" s="1"/>
  <c r="J599" i="15" s="1"/>
  <c r="J600" i="15" s="1"/>
  <c r="J601" i="15" s="1"/>
  <c r="J602" i="15" s="1"/>
  <c r="M592" i="15"/>
  <c r="Q592" i="15" s="1"/>
  <c r="S592" i="15" s="1"/>
  <c r="M292" i="20"/>
  <c r="Q292" i="20" s="1"/>
  <c r="S292" i="20" s="1"/>
  <c r="U292" i="20" s="1"/>
  <c r="J297" i="20"/>
  <c r="M910" i="15"/>
  <c r="Q910" i="15" s="1"/>
  <c r="S910" i="15" s="1"/>
  <c r="J915" i="15"/>
  <c r="J430" i="20"/>
  <c r="M429" i="20"/>
  <c r="Q429" i="20" s="1"/>
  <c r="S429" i="20" s="1"/>
  <c r="U429" i="20" s="1"/>
  <c r="J919" i="20"/>
  <c r="M914" i="20"/>
  <c r="Q914" i="20" s="1"/>
  <c r="S914" i="20" s="1"/>
  <c r="U914" i="20" s="1"/>
  <c r="M1012" i="20"/>
  <c r="Q1012" i="20" s="1"/>
  <c r="S1012" i="20" s="1"/>
  <c r="U1012" i="20" s="1"/>
  <c r="J1013" i="20"/>
  <c r="J918" i="15"/>
  <c r="M913" i="15"/>
  <c r="Q913" i="15" s="1"/>
  <c r="S913" i="15" s="1"/>
  <c r="M909" i="15"/>
  <c r="Q909" i="15" s="1"/>
  <c r="S909" i="15" s="1"/>
  <c r="J914" i="15"/>
  <c r="M290" i="20"/>
  <c r="Q290" i="20" s="1"/>
  <c r="S290" i="20" s="1"/>
  <c r="U290" i="20" s="1"/>
  <c r="J295" i="20"/>
  <c r="I269" i="15"/>
  <c r="O267" i="15"/>
  <c r="Q267" i="15" s="1"/>
  <c r="S267" i="15" s="1"/>
  <c r="I272" i="15"/>
  <c r="I271" i="15"/>
  <c r="I270" i="15"/>
  <c r="M948" i="15"/>
  <c r="Q948" i="15" s="1"/>
  <c r="S948" i="15" s="1"/>
  <c r="J949" i="15"/>
  <c r="M433" i="15"/>
  <c r="Q433" i="15" s="1"/>
  <c r="S433" i="15" s="1"/>
  <c r="J434" i="15"/>
  <c r="J397" i="15"/>
  <c r="M396" i="15"/>
  <c r="Q396" i="15" s="1"/>
  <c r="S396" i="15" s="1"/>
  <c r="J452" i="20"/>
  <c r="M451" i="20"/>
  <c r="Q451" i="20" s="1"/>
  <c r="S451" i="20" s="1"/>
  <c r="U451" i="20" s="1"/>
  <c r="I264" i="20"/>
  <c r="O264" i="20" s="1"/>
  <c r="Q264" i="20" s="1"/>
  <c r="S264" i="20" s="1"/>
  <c r="U264" i="20" s="1"/>
  <c r="O262" i="20"/>
  <c r="Q262" i="20" s="1"/>
  <c r="S262" i="20" s="1"/>
  <c r="U262" i="20" s="1"/>
  <c r="I267" i="20"/>
  <c r="I266" i="20"/>
  <c r="O266" i="20" s="1"/>
  <c r="Q266" i="20" s="1"/>
  <c r="S266" i="20" s="1"/>
  <c r="U266" i="20" s="1"/>
  <c r="I265" i="20"/>
  <c r="O265" i="20" s="1"/>
  <c r="Q265" i="20" s="1"/>
  <c r="S265" i="20" s="1"/>
  <c r="U265" i="20" s="1"/>
  <c r="M1067" i="15"/>
  <c r="Q1067" i="15" s="1"/>
  <c r="S1067" i="15" s="1"/>
  <c r="J1069" i="15"/>
  <c r="M1147" i="20"/>
  <c r="Q1147" i="20" s="1"/>
  <c r="S1147" i="20" s="1"/>
  <c r="U1147" i="20" s="1"/>
  <c r="J1148" i="20"/>
  <c r="M396" i="20"/>
  <c r="Q396" i="20" s="1"/>
  <c r="S396" i="20" s="1"/>
  <c r="U396" i="20" s="1"/>
  <c r="J397" i="20"/>
  <c r="J451" i="15"/>
  <c r="M449" i="15"/>
  <c r="Q449" i="15" s="1"/>
  <c r="S449" i="15" s="1"/>
  <c r="I316" i="20"/>
  <c r="I315" i="20"/>
  <c r="I314" i="20"/>
  <c r="I317" i="20"/>
  <c r="J1148" i="15"/>
  <c r="M1147" i="15"/>
  <c r="Q1147" i="15" s="1"/>
  <c r="S1147" i="15" s="1"/>
  <c r="I1045" i="15"/>
  <c r="O1044" i="15"/>
  <c r="E186" i="11"/>
  <c r="H185" i="11"/>
  <c r="L185" i="11" s="1"/>
  <c r="N185" i="11" s="1"/>
  <c r="G186" i="8"/>
  <c r="J185" i="8"/>
  <c r="N185" i="8" s="1"/>
  <c r="P185" i="8" s="1"/>
  <c r="J299" i="15"/>
  <c r="M294" i="15"/>
  <c r="Q294" i="15" s="1"/>
  <c r="S294" i="15" s="1"/>
  <c r="J912" i="20"/>
  <c r="M907" i="20"/>
  <c r="Q907" i="20" s="1"/>
  <c r="S907" i="20" s="1"/>
  <c r="U907" i="20" s="1"/>
  <c r="M328" i="15"/>
  <c r="Q328" i="15" s="1"/>
  <c r="S328" i="15" s="1"/>
  <c r="J329" i="15"/>
  <c r="M295" i="15"/>
  <c r="Q295" i="15" s="1"/>
  <c r="S295" i="15" s="1"/>
  <c r="J300" i="15"/>
  <c r="E127" i="11"/>
  <c r="H126" i="11"/>
  <c r="L126" i="11" s="1"/>
  <c r="N126" i="11" s="1"/>
  <c r="I932" i="15"/>
  <c r="I934" i="15"/>
  <c r="I933" i="15"/>
  <c r="I935" i="15"/>
  <c r="J917" i="15"/>
  <c r="M912" i="15"/>
  <c r="Q912" i="15" s="1"/>
  <c r="S912" i="15" s="1"/>
  <c r="I427" i="15"/>
  <c r="O426" i="15"/>
  <c r="Q426" i="15" s="1"/>
  <c r="S426" i="15" s="1"/>
  <c r="J302" i="15"/>
  <c r="M297" i="15"/>
  <c r="Q297" i="15" s="1"/>
  <c r="S297" i="15" s="1"/>
  <c r="O425" i="20"/>
  <c r="Q425" i="20" s="1"/>
  <c r="S425" i="20" s="1"/>
  <c r="U425" i="20" s="1"/>
  <c r="I426" i="20"/>
  <c r="J1069" i="20"/>
  <c r="M1068" i="20"/>
  <c r="Q1068" i="20" s="1"/>
  <c r="S1068" i="20" s="1"/>
  <c r="U1068" i="20" s="1"/>
  <c r="M1014" i="15"/>
  <c r="Q1014" i="15" s="1"/>
  <c r="S1014" i="15" s="1"/>
  <c r="J1015" i="15"/>
  <c r="J1044" i="20"/>
  <c r="J1046" i="20" s="1"/>
  <c r="M1043" i="20"/>
  <c r="Q1043" i="20" s="1"/>
  <c r="S1043" i="20" s="1"/>
  <c r="U1043" i="20" s="1"/>
  <c r="I885" i="15"/>
  <c r="I883" i="15"/>
  <c r="O883" i="15" s="1"/>
  <c r="Q883" i="15" s="1"/>
  <c r="S883" i="15" s="1"/>
  <c r="I884" i="15"/>
  <c r="O884" i="15" s="1"/>
  <c r="Q884" i="15" s="1"/>
  <c r="S884" i="15" s="1"/>
  <c r="I882" i="15"/>
  <c r="O882" i="15" s="1"/>
  <c r="Q882" i="15" s="1"/>
  <c r="S882" i="15" s="1"/>
  <c r="J299" i="20"/>
  <c r="M294" i="20"/>
  <c r="Q294" i="20" s="1"/>
  <c r="S294" i="20" s="1"/>
  <c r="U294" i="20" s="1"/>
  <c r="C8" i="24" l="1"/>
  <c r="D9" i="24"/>
  <c r="J947" i="24"/>
  <c r="M946" i="24"/>
  <c r="Q946" i="24" s="1"/>
  <c r="S946" i="24" s="1"/>
  <c r="U946" i="24" s="1"/>
  <c r="M1013" i="24"/>
  <c r="Q1013" i="24" s="1"/>
  <c r="S1013" i="24" s="1"/>
  <c r="U1013" i="24" s="1"/>
  <c r="J1014" i="24"/>
  <c r="J330" i="24"/>
  <c r="M329" i="24"/>
  <c r="Q329" i="24" s="1"/>
  <c r="S329" i="24" s="1"/>
  <c r="U329" i="24" s="1"/>
  <c r="M527" i="24"/>
  <c r="Q527" i="24" s="1"/>
  <c r="S527" i="24" s="1"/>
  <c r="U527" i="24" s="1"/>
  <c r="J528" i="24"/>
  <c r="M1148" i="24"/>
  <c r="Q1148" i="24" s="1"/>
  <c r="S1148" i="24" s="1"/>
  <c r="U1148" i="24" s="1"/>
  <c r="J1149" i="24"/>
  <c r="J1044" i="24"/>
  <c r="J1046" i="24" s="1"/>
  <c r="M1043" i="24"/>
  <c r="Q1043" i="24" s="1"/>
  <c r="S1043" i="24" s="1"/>
  <c r="U1043" i="24" s="1"/>
  <c r="J452" i="24"/>
  <c r="M451" i="24"/>
  <c r="Q451" i="24" s="1"/>
  <c r="S451" i="24" s="1"/>
  <c r="U451" i="24" s="1"/>
  <c r="J300" i="24"/>
  <c r="M295" i="24"/>
  <c r="Q295" i="24" s="1"/>
  <c r="S295" i="24" s="1"/>
  <c r="U295" i="24" s="1"/>
  <c r="M297" i="24"/>
  <c r="Q297" i="24" s="1"/>
  <c r="S297" i="24" s="1"/>
  <c r="U297" i="24" s="1"/>
  <c r="J302" i="24"/>
  <c r="J921" i="24"/>
  <c r="M916" i="24"/>
  <c r="Q916" i="24" s="1"/>
  <c r="S916" i="24" s="1"/>
  <c r="U916" i="24" s="1"/>
  <c r="J922" i="24"/>
  <c r="M917" i="24"/>
  <c r="Q917" i="24" s="1"/>
  <c r="S917" i="24" s="1"/>
  <c r="U917" i="24" s="1"/>
  <c r="M396" i="24"/>
  <c r="Q396" i="24" s="1"/>
  <c r="S396" i="24" s="1"/>
  <c r="U396" i="24" s="1"/>
  <c r="J397" i="24"/>
  <c r="J432" i="24"/>
  <c r="J433" i="24" s="1"/>
  <c r="M430" i="24"/>
  <c r="Q430" i="24" s="1"/>
  <c r="S430" i="24" s="1"/>
  <c r="U430" i="24" s="1"/>
  <c r="J1069" i="24"/>
  <c r="M1068" i="24"/>
  <c r="Q1068" i="24" s="1"/>
  <c r="S1068" i="24" s="1"/>
  <c r="U1068" i="24" s="1"/>
  <c r="I265" i="24"/>
  <c r="O265" i="24" s="1"/>
  <c r="Q265" i="24" s="1"/>
  <c r="S265" i="24" s="1"/>
  <c r="U265" i="24" s="1"/>
  <c r="I264" i="24"/>
  <c r="O264" i="24" s="1"/>
  <c r="Q264" i="24" s="1"/>
  <c r="S264" i="24" s="1"/>
  <c r="U264" i="24" s="1"/>
  <c r="O262" i="24"/>
  <c r="Q262" i="24" s="1"/>
  <c r="S262" i="24" s="1"/>
  <c r="U262" i="24" s="1"/>
  <c r="I267" i="24"/>
  <c r="I266" i="24"/>
  <c r="O266" i="24" s="1"/>
  <c r="Q266" i="24" s="1"/>
  <c r="S266" i="24" s="1"/>
  <c r="U266" i="24" s="1"/>
  <c r="J304" i="24"/>
  <c r="M299" i="24"/>
  <c r="Q299" i="24" s="1"/>
  <c r="S299" i="24" s="1"/>
  <c r="U299" i="24" s="1"/>
  <c r="M919" i="24"/>
  <c r="Q919" i="24" s="1"/>
  <c r="S919" i="24" s="1"/>
  <c r="U919" i="24" s="1"/>
  <c r="J924" i="24"/>
  <c r="J306" i="24"/>
  <c r="M301" i="24"/>
  <c r="Q301" i="24" s="1"/>
  <c r="S301" i="24" s="1"/>
  <c r="U301" i="24" s="1"/>
  <c r="J923" i="24"/>
  <c r="M918" i="24"/>
  <c r="Q918" i="24" s="1"/>
  <c r="S918" i="24" s="1"/>
  <c r="U918" i="24" s="1"/>
  <c r="I887" i="24"/>
  <c r="I886" i="24"/>
  <c r="O884" i="24"/>
  <c r="Q884" i="24" s="1"/>
  <c r="S884" i="24" s="1"/>
  <c r="U884" i="24" s="1"/>
  <c r="I889" i="24"/>
  <c r="I888" i="24"/>
  <c r="M300" i="15"/>
  <c r="Q300" i="15" s="1"/>
  <c r="S300" i="15" s="1"/>
  <c r="J305" i="15"/>
  <c r="M1148" i="20"/>
  <c r="Q1148" i="20" s="1"/>
  <c r="S1148" i="20" s="1"/>
  <c r="U1148" i="20" s="1"/>
  <c r="J1149" i="20"/>
  <c r="J453" i="20"/>
  <c r="M452" i="20"/>
  <c r="Q452" i="20" s="1"/>
  <c r="S452" i="20" s="1"/>
  <c r="U452" i="20" s="1"/>
  <c r="J300" i="20"/>
  <c r="M295" i="20"/>
  <c r="Q295" i="20" s="1"/>
  <c r="S295" i="20" s="1"/>
  <c r="U295" i="20" s="1"/>
  <c r="J920" i="15"/>
  <c r="M915" i="15"/>
  <c r="Q915" i="15" s="1"/>
  <c r="S915" i="15" s="1"/>
  <c r="C8" i="15"/>
  <c r="D9" i="15"/>
  <c r="J522" i="15"/>
  <c r="M521" i="15"/>
  <c r="Q521" i="15" s="1"/>
  <c r="S521" i="15" s="1"/>
  <c r="M1046" i="20"/>
  <c r="Q1046" i="20" s="1"/>
  <c r="S1046" i="20" s="1"/>
  <c r="U1046" i="20" s="1"/>
  <c r="J1047" i="20"/>
  <c r="J1070" i="20"/>
  <c r="M1069" i="20"/>
  <c r="Q1069" i="20" s="1"/>
  <c r="S1069" i="20" s="1"/>
  <c r="U1069" i="20" s="1"/>
  <c r="M302" i="15"/>
  <c r="Q302" i="15" s="1"/>
  <c r="S302" i="15" s="1"/>
  <c r="J307" i="15"/>
  <c r="J922" i="15"/>
  <c r="M917" i="15"/>
  <c r="Q917" i="15" s="1"/>
  <c r="S917" i="15" s="1"/>
  <c r="J917" i="20"/>
  <c r="M912" i="20"/>
  <c r="Q912" i="20" s="1"/>
  <c r="S912" i="20" s="1"/>
  <c r="U912" i="20" s="1"/>
  <c r="G187" i="8"/>
  <c r="J186" i="8"/>
  <c r="N186" i="8" s="1"/>
  <c r="P186" i="8" s="1"/>
  <c r="M451" i="15"/>
  <c r="Q451" i="15" s="1"/>
  <c r="S451" i="15" s="1"/>
  <c r="J452" i="15"/>
  <c r="J951" i="15"/>
  <c r="M951" i="15" s="1"/>
  <c r="Q951" i="15" s="1"/>
  <c r="S951" i="15" s="1"/>
  <c r="J952" i="15"/>
  <c r="M949" i="15"/>
  <c r="Q949" i="15" s="1"/>
  <c r="S949" i="15" s="1"/>
  <c r="J954" i="15"/>
  <c r="I277" i="15"/>
  <c r="I276" i="15"/>
  <c r="O276" i="15" s="1"/>
  <c r="Q276" i="15" s="1"/>
  <c r="S276" i="15" s="1"/>
  <c r="I275" i="15"/>
  <c r="O275" i="15" s="1"/>
  <c r="Q275" i="15" s="1"/>
  <c r="S275" i="15" s="1"/>
  <c r="I274" i="15"/>
  <c r="O274" i="15" s="1"/>
  <c r="Q274" i="15" s="1"/>
  <c r="S274" i="15" s="1"/>
  <c r="J923" i="15"/>
  <c r="M918" i="15"/>
  <c r="Q918" i="15" s="1"/>
  <c r="S918" i="15" s="1"/>
  <c r="J924" i="20"/>
  <c r="M919" i="20"/>
  <c r="Q919" i="20" s="1"/>
  <c r="S919" i="20" s="1"/>
  <c r="U919" i="20" s="1"/>
  <c r="J948" i="20"/>
  <c r="M947" i="20"/>
  <c r="Q947" i="20" s="1"/>
  <c r="S947" i="20" s="1"/>
  <c r="U947" i="20" s="1"/>
  <c r="G129" i="8"/>
  <c r="J128" i="8"/>
  <c r="N128" i="8" s="1"/>
  <c r="P128" i="8" s="1"/>
  <c r="M301" i="15"/>
  <c r="Q301" i="15" s="1"/>
  <c r="S301" i="15" s="1"/>
  <c r="J306" i="15"/>
  <c r="M299" i="20"/>
  <c r="Q299" i="20" s="1"/>
  <c r="S299" i="20" s="1"/>
  <c r="U299" i="20" s="1"/>
  <c r="J304" i="20"/>
  <c r="I890" i="15"/>
  <c r="I889" i="15"/>
  <c r="I888" i="15"/>
  <c r="I887" i="15"/>
  <c r="O885" i="15"/>
  <c r="Q885" i="15" s="1"/>
  <c r="S885" i="15" s="1"/>
  <c r="J1016" i="15"/>
  <c r="M1015" i="15"/>
  <c r="Q1015" i="15" s="1"/>
  <c r="S1015" i="15" s="1"/>
  <c r="I427" i="20"/>
  <c r="O426" i="20"/>
  <c r="Q426" i="20" s="1"/>
  <c r="S426" i="20" s="1"/>
  <c r="U426" i="20" s="1"/>
  <c r="M329" i="15"/>
  <c r="Q329" i="15" s="1"/>
  <c r="S329" i="15" s="1"/>
  <c r="J330" i="15"/>
  <c r="M397" i="20"/>
  <c r="Q397" i="20" s="1"/>
  <c r="S397" i="20" s="1"/>
  <c r="U397" i="20" s="1"/>
  <c r="J398" i="20"/>
  <c r="M1069" i="15"/>
  <c r="Q1069" i="15" s="1"/>
  <c r="S1069" i="15" s="1"/>
  <c r="J1070" i="15"/>
  <c r="I272" i="20"/>
  <c r="I271" i="20"/>
  <c r="I270" i="20"/>
  <c r="I269" i="20"/>
  <c r="O267" i="20"/>
  <c r="Q267" i="20" s="1"/>
  <c r="S267" i="20" s="1"/>
  <c r="U267" i="20" s="1"/>
  <c r="M397" i="15"/>
  <c r="Q397" i="15" s="1"/>
  <c r="S397" i="15" s="1"/>
  <c r="J398" i="15"/>
  <c r="J919" i="15"/>
  <c r="M914" i="15"/>
  <c r="Q914" i="15" s="1"/>
  <c r="S914" i="15" s="1"/>
  <c r="M1013" i="20"/>
  <c r="Q1013" i="20" s="1"/>
  <c r="S1013" i="20" s="1"/>
  <c r="U1013" i="20" s="1"/>
  <c r="J1014" i="20"/>
  <c r="J302" i="20"/>
  <c r="M297" i="20"/>
  <c r="Q297" i="20" s="1"/>
  <c r="S297" i="20" s="1"/>
  <c r="U297" i="20" s="1"/>
  <c r="J306" i="20"/>
  <c r="M301" i="20"/>
  <c r="Q301" i="20" s="1"/>
  <c r="S301" i="20" s="1"/>
  <c r="U301" i="20" s="1"/>
  <c r="M330" i="20"/>
  <c r="Q330" i="20" s="1"/>
  <c r="S330" i="20" s="1"/>
  <c r="U330" i="20" s="1"/>
  <c r="J331" i="20"/>
  <c r="M1044" i="15"/>
  <c r="Q1044" i="15" s="1"/>
  <c r="S1044" i="15" s="1"/>
  <c r="J1045" i="15"/>
  <c r="J1047" i="15" s="1"/>
  <c r="E128" i="11"/>
  <c r="H127" i="11"/>
  <c r="L127" i="11" s="1"/>
  <c r="N127" i="11" s="1"/>
  <c r="M299" i="15"/>
  <c r="Q299" i="15" s="1"/>
  <c r="S299" i="15" s="1"/>
  <c r="J304" i="15"/>
  <c r="E187" i="11"/>
  <c r="H186" i="11"/>
  <c r="L186" i="11" s="1"/>
  <c r="N186" i="11" s="1"/>
  <c r="M1148" i="15"/>
  <c r="Q1148" i="15" s="1"/>
  <c r="S1148" i="15" s="1"/>
  <c r="J1149" i="15"/>
  <c r="M434" i="15"/>
  <c r="Q434" i="15" s="1"/>
  <c r="S434" i="15" s="1"/>
  <c r="J435" i="15"/>
  <c r="J432" i="20"/>
  <c r="J433" i="20" s="1"/>
  <c r="M430" i="20"/>
  <c r="Q430" i="20" s="1"/>
  <c r="S430" i="20" s="1"/>
  <c r="U430" i="20" s="1"/>
  <c r="J921" i="20"/>
  <c r="M916" i="20"/>
  <c r="Q916" i="20" s="1"/>
  <c r="S916" i="20" s="1"/>
  <c r="U916" i="20" s="1"/>
  <c r="I889" i="20"/>
  <c r="I888" i="20"/>
  <c r="I887" i="20"/>
  <c r="I886" i="20"/>
  <c r="O884" i="20"/>
  <c r="Q884" i="20" s="1"/>
  <c r="S884" i="20" s="1"/>
  <c r="U884" i="20" s="1"/>
  <c r="D9" i="20"/>
  <c r="C8" i="20"/>
  <c r="J923" i="20"/>
  <c r="M918" i="20"/>
  <c r="Q918" i="20" s="1"/>
  <c r="S918" i="20" s="1"/>
  <c r="U918" i="20" s="1"/>
  <c r="J523" i="20"/>
  <c r="J525" i="20" s="1"/>
  <c r="J527" i="20" s="1"/>
  <c r="M522" i="20"/>
  <c r="Q522" i="20" s="1"/>
  <c r="S522" i="20" s="1"/>
  <c r="U522" i="20" s="1"/>
  <c r="M306" i="24" l="1"/>
  <c r="Q306" i="24" s="1"/>
  <c r="S306" i="24" s="1"/>
  <c r="U306" i="24" s="1"/>
  <c r="J311" i="24"/>
  <c r="J316" i="24" s="1"/>
  <c r="M304" i="24"/>
  <c r="Q304" i="24" s="1"/>
  <c r="S304" i="24" s="1"/>
  <c r="U304" i="24" s="1"/>
  <c r="J309" i="24"/>
  <c r="J314" i="24" s="1"/>
  <c r="J307" i="24"/>
  <c r="M302" i="24"/>
  <c r="Q302" i="24" s="1"/>
  <c r="S302" i="24" s="1"/>
  <c r="U302" i="24" s="1"/>
  <c r="I893" i="24"/>
  <c r="O893" i="24" s="1"/>
  <c r="Q893" i="24" s="1"/>
  <c r="S893" i="24" s="1"/>
  <c r="U893" i="24" s="1"/>
  <c r="I892" i="24"/>
  <c r="O892" i="24" s="1"/>
  <c r="Q892" i="24" s="1"/>
  <c r="S892" i="24" s="1"/>
  <c r="U892" i="24" s="1"/>
  <c r="I891" i="24"/>
  <c r="O891" i="24" s="1"/>
  <c r="Q891" i="24" s="1"/>
  <c r="S891" i="24" s="1"/>
  <c r="U891" i="24" s="1"/>
  <c r="I894" i="24"/>
  <c r="M924" i="24"/>
  <c r="Q924" i="24" s="1"/>
  <c r="S924" i="24" s="1"/>
  <c r="U924" i="24" s="1"/>
  <c r="J929" i="24"/>
  <c r="J934" i="24" s="1"/>
  <c r="M433" i="24"/>
  <c r="Q433" i="24" s="1"/>
  <c r="S433" i="24" s="1"/>
  <c r="U433" i="24" s="1"/>
  <c r="J434" i="24"/>
  <c r="M922" i="24"/>
  <c r="Q922" i="24" s="1"/>
  <c r="S922" i="24" s="1"/>
  <c r="U922" i="24" s="1"/>
  <c r="J927" i="24"/>
  <c r="J932" i="24" s="1"/>
  <c r="J453" i="24"/>
  <c r="M452" i="24"/>
  <c r="Q452" i="24" s="1"/>
  <c r="S452" i="24" s="1"/>
  <c r="U452" i="24" s="1"/>
  <c r="J331" i="24"/>
  <c r="M330" i="24"/>
  <c r="Q330" i="24" s="1"/>
  <c r="S330" i="24" s="1"/>
  <c r="U330" i="24" s="1"/>
  <c r="J948" i="24"/>
  <c r="M947" i="24"/>
  <c r="Q947" i="24" s="1"/>
  <c r="S947" i="24" s="1"/>
  <c r="U947" i="24" s="1"/>
  <c r="M1149" i="24"/>
  <c r="Q1149" i="24" s="1"/>
  <c r="S1149" i="24" s="1"/>
  <c r="U1149" i="24" s="1"/>
  <c r="J1150" i="24"/>
  <c r="J1152" i="24" s="1"/>
  <c r="J1154" i="24" s="1"/>
  <c r="J928" i="24"/>
  <c r="J933" i="24" s="1"/>
  <c r="M923" i="24"/>
  <c r="Q923" i="24" s="1"/>
  <c r="S923" i="24" s="1"/>
  <c r="U923" i="24" s="1"/>
  <c r="I272" i="24"/>
  <c r="I271" i="24"/>
  <c r="I270" i="24"/>
  <c r="I269" i="24"/>
  <c r="O267" i="24"/>
  <c r="Q267" i="24" s="1"/>
  <c r="S267" i="24" s="1"/>
  <c r="U267" i="24" s="1"/>
  <c r="M397" i="24"/>
  <c r="Q397" i="24" s="1"/>
  <c r="S397" i="24" s="1"/>
  <c r="U397" i="24" s="1"/>
  <c r="J398" i="24"/>
  <c r="M528" i="24"/>
  <c r="Q528" i="24" s="1"/>
  <c r="S528" i="24" s="1"/>
  <c r="U528" i="24" s="1"/>
  <c r="J529" i="24"/>
  <c r="M1014" i="24"/>
  <c r="Q1014" i="24" s="1"/>
  <c r="S1014" i="24" s="1"/>
  <c r="U1014" i="24" s="1"/>
  <c r="J1015" i="24"/>
  <c r="D10" i="24"/>
  <c r="F26" i="24"/>
  <c r="C9" i="24"/>
  <c r="J1070" i="24"/>
  <c r="M1069" i="24"/>
  <c r="Q1069" i="24" s="1"/>
  <c r="S1069" i="24" s="1"/>
  <c r="U1069" i="24" s="1"/>
  <c r="J926" i="24"/>
  <c r="J931" i="24" s="1"/>
  <c r="M921" i="24"/>
  <c r="Q921" i="24" s="1"/>
  <c r="S921" i="24" s="1"/>
  <c r="U921" i="24" s="1"/>
  <c r="M300" i="24"/>
  <c r="Q300" i="24" s="1"/>
  <c r="S300" i="24" s="1"/>
  <c r="U300" i="24" s="1"/>
  <c r="J305" i="24"/>
  <c r="M1046" i="24"/>
  <c r="Q1046" i="24" s="1"/>
  <c r="S1046" i="24" s="1"/>
  <c r="U1046" i="24" s="1"/>
  <c r="J1047" i="24"/>
  <c r="M527" i="20"/>
  <c r="Q527" i="20" s="1"/>
  <c r="S527" i="20" s="1"/>
  <c r="U527" i="20" s="1"/>
  <c r="J528" i="20"/>
  <c r="F26" i="20"/>
  <c r="C9" i="20"/>
  <c r="D10" i="20"/>
  <c r="M923" i="20"/>
  <c r="Q923" i="20" s="1"/>
  <c r="S923" i="20" s="1"/>
  <c r="U923" i="20" s="1"/>
  <c r="J928" i="20"/>
  <c r="J933" i="20" s="1"/>
  <c r="M435" i="15"/>
  <c r="Q435" i="15" s="1"/>
  <c r="S435" i="15" s="1"/>
  <c r="J436" i="15"/>
  <c r="J334" i="20"/>
  <c r="J333" i="20"/>
  <c r="M333" i="20" s="1"/>
  <c r="Q333" i="20" s="1"/>
  <c r="S333" i="20" s="1"/>
  <c r="U333" i="20" s="1"/>
  <c r="M331" i="20"/>
  <c r="Q331" i="20" s="1"/>
  <c r="S331" i="20" s="1"/>
  <c r="U331" i="20" s="1"/>
  <c r="J336" i="20"/>
  <c r="I277" i="20"/>
  <c r="I274" i="20"/>
  <c r="O274" i="20" s="1"/>
  <c r="Q274" i="20" s="1"/>
  <c r="S274" i="20" s="1"/>
  <c r="U274" i="20" s="1"/>
  <c r="I276" i="20"/>
  <c r="O276" i="20" s="1"/>
  <c r="Q276" i="20" s="1"/>
  <c r="S276" i="20" s="1"/>
  <c r="U276" i="20" s="1"/>
  <c r="I275" i="20"/>
  <c r="O275" i="20" s="1"/>
  <c r="Q275" i="20" s="1"/>
  <c r="S275" i="20" s="1"/>
  <c r="U275" i="20" s="1"/>
  <c r="J309" i="20"/>
  <c r="J314" i="20" s="1"/>
  <c r="M304" i="20"/>
  <c r="Q304" i="20" s="1"/>
  <c r="S304" i="20" s="1"/>
  <c r="U304" i="20" s="1"/>
  <c r="M452" i="15"/>
  <c r="Q452" i="15" s="1"/>
  <c r="S452" i="15" s="1"/>
  <c r="J453" i="15"/>
  <c r="J312" i="15"/>
  <c r="J317" i="15" s="1"/>
  <c r="M307" i="15"/>
  <c r="Q307" i="15" s="1"/>
  <c r="S307" i="15" s="1"/>
  <c r="J1049" i="20"/>
  <c r="J1050" i="20" s="1"/>
  <c r="M1047" i="20"/>
  <c r="Q1047" i="20" s="1"/>
  <c r="S1047" i="20" s="1"/>
  <c r="U1047" i="20" s="1"/>
  <c r="F26" i="15"/>
  <c r="C9" i="15"/>
  <c r="D10" i="15"/>
  <c r="M1149" i="20"/>
  <c r="Q1149" i="20" s="1"/>
  <c r="S1149" i="20" s="1"/>
  <c r="U1149" i="20" s="1"/>
  <c r="J1150" i="20"/>
  <c r="J1152" i="20" s="1"/>
  <c r="J1154" i="20" s="1"/>
  <c r="J926" i="20"/>
  <c r="J931" i="20" s="1"/>
  <c r="M921" i="20"/>
  <c r="Q921" i="20" s="1"/>
  <c r="S921" i="20" s="1"/>
  <c r="U921" i="20" s="1"/>
  <c r="E188" i="11"/>
  <c r="H187" i="11"/>
  <c r="L187" i="11" s="1"/>
  <c r="N187" i="11" s="1"/>
  <c r="E129" i="11"/>
  <c r="H128" i="11"/>
  <c r="L128" i="11" s="1"/>
  <c r="N128" i="11" s="1"/>
  <c r="J307" i="20"/>
  <c r="M302" i="20"/>
  <c r="Q302" i="20" s="1"/>
  <c r="S302" i="20" s="1"/>
  <c r="U302" i="20" s="1"/>
  <c r="J924" i="15"/>
  <c r="M919" i="15"/>
  <c r="Q919" i="15" s="1"/>
  <c r="S919" i="15" s="1"/>
  <c r="M1070" i="15"/>
  <c r="Q1070" i="15" s="1"/>
  <c r="S1070" i="15" s="1"/>
  <c r="J1071" i="15"/>
  <c r="M330" i="15"/>
  <c r="Q330" i="15" s="1"/>
  <c r="S330" i="15" s="1"/>
  <c r="J331" i="15"/>
  <c r="M924" i="20"/>
  <c r="Q924" i="20" s="1"/>
  <c r="S924" i="20" s="1"/>
  <c r="U924" i="20" s="1"/>
  <c r="J929" i="20"/>
  <c r="J934" i="20" s="1"/>
  <c r="M917" i="20"/>
  <c r="Q917" i="20" s="1"/>
  <c r="S917" i="20" s="1"/>
  <c r="U917" i="20" s="1"/>
  <c r="J922" i="20"/>
  <c r="J305" i="20"/>
  <c r="M300" i="20"/>
  <c r="Q300" i="20" s="1"/>
  <c r="S300" i="20" s="1"/>
  <c r="U300" i="20" s="1"/>
  <c r="M1149" i="15"/>
  <c r="Q1149" i="15" s="1"/>
  <c r="S1149" i="15" s="1"/>
  <c r="J1150" i="15"/>
  <c r="M304" i="15"/>
  <c r="Q304" i="15" s="1"/>
  <c r="S304" i="15" s="1"/>
  <c r="J309" i="15"/>
  <c r="J314" i="15" s="1"/>
  <c r="M1047" i="15"/>
  <c r="Q1047" i="15" s="1"/>
  <c r="S1047" i="15" s="1"/>
  <c r="J1048" i="15"/>
  <c r="M1014" i="20"/>
  <c r="Q1014" i="20" s="1"/>
  <c r="S1014" i="20" s="1"/>
  <c r="U1014" i="20" s="1"/>
  <c r="J1015" i="20"/>
  <c r="J399" i="15"/>
  <c r="M398" i="15"/>
  <c r="Q398" i="15" s="1"/>
  <c r="S398" i="15" s="1"/>
  <c r="M1016" i="15"/>
  <c r="Q1016" i="15" s="1"/>
  <c r="S1016" i="15" s="1"/>
  <c r="J1017" i="15"/>
  <c r="J311" i="15"/>
  <c r="J316" i="15" s="1"/>
  <c r="M306" i="15"/>
  <c r="Q306" i="15" s="1"/>
  <c r="S306" i="15" s="1"/>
  <c r="J955" i="15"/>
  <c r="M952" i="15"/>
  <c r="Q952" i="15" s="1"/>
  <c r="S952" i="15" s="1"/>
  <c r="J310" i="15"/>
  <c r="J315" i="15" s="1"/>
  <c r="M305" i="15"/>
  <c r="Q305" i="15" s="1"/>
  <c r="S305" i="15" s="1"/>
  <c r="I891" i="20"/>
  <c r="O891" i="20" s="1"/>
  <c r="Q891" i="20" s="1"/>
  <c r="S891" i="20" s="1"/>
  <c r="U891" i="20" s="1"/>
  <c r="I894" i="20"/>
  <c r="I893" i="20"/>
  <c r="O893" i="20" s="1"/>
  <c r="Q893" i="20" s="1"/>
  <c r="S893" i="20" s="1"/>
  <c r="U893" i="20" s="1"/>
  <c r="I892" i="20"/>
  <c r="O892" i="20" s="1"/>
  <c r="Q892" i="20" s="1"/>
  <c r="S892" i="20" s="1"/>
  <c r="U892" i="20" s="1"/>
  <c r="J434" i="20"/>
  <c r="M433" i="20"/>
  <c r="Q433" i="20" s="1"/>
  <c r="S433" i="20" s="1"/>
  <c r="U433" i="20" s="1"/>
  <c r="M306" i="20"/>
  <c r="Q306" i="20" s="1"/>
  <c r="S306" i="20" s="1"/>
  <c r="U306" i="20" s="1"/>
  <c r="J311" i="20"/>
  <c r="J316" i="20" s="1"/>
  <c r="M398" i="20"/>
  <c r="Q398" i="20" s="1"/>
  <c r="S398" i="20" s="1"/>
  <c r="U398" i="20" s="1"/>
  <c r="J399" i="20"/>
  <c r="I895" i="15"/>
  <c r="I893" i="15"/>
  <c r="O893" i="15" s="1"/>
  <c r="Q893" i="15" s="1"/>
  <c r="S893" i="15" s="1"/>
  <c r="I894" i="15"/>
  <c r="O894" i="15" s="1"/>
  <c r="Q894" i="15" s="1"/>
  <c r="S894" i="15" s="1"/>
  <c r="I892" i="15"/>
  <c r="O892" i="15" s="1"/>
  <c r="Q892" i="15" s="1"/>
  <c r="S892" i="15" s="1"/>
  <c r="J953" i="20"/>
  <c r="J951" i="20"/>
  <c r="J950" i="20"/>
  <c r="M950" i="20" s="1"/>
  <c r="Q950" i="20" s="1"/>
  <c r="S950" i="20" s="1"/>
  <c r="U950" i="20" s="1"/>
  <c r="M948" i="20"/>
  <c r="Q948" i="20" s="1"/>
  <c r="S948" i="20" s="1"/>
  <c r="U948" i="20" s="1"/>
  <c r="J928" i="15"/>
  <c r="J933" i="15" s="1"/>
  <c r="M923" i="15"/>
  <c r="Q923" i="15" s="1"/>
  <c r="S923" i="15" s="1"/>
  <c r="I282" i="15"/>
  <c r="I281" i="15"/>
  <c r="O281" i="15" s="1"/>
  <c r="Q281" i="15" s="1"/>
  <c r="S281" i="15" s="1"/>
  <c r="I280" i="15"/>
  <c r="O280" i="15" s="1"/>
  <c r="Q280" i="15" s="1"/>
  <c r="S280" i="15" s="1"/>
  <c r="I279" i="15"/>
  <c r="O279" i="15" s="1"/>
  <c r="Q279" i="15" s="1"/>
  <c r="S279" i="15" s="1"/>
  <c r="O277" i="15"/>
  <c r="Q277" i="15" s="1"/>
  <c r="S277" i="15" s="1"/>
  <c r="G188" i="8"/>
  <c r="J187" i="8"/>
  <c r="N187" i="8" s="1"/>
  <c r="P187" i="8" s="1"/>
  <c r="M922" i="15"/>
  <c r="Q922" i="15" s="1"/>
  <c r="S922" i="15" s="1"/>
  <c r="J927" i="15"/>
  <c r="J932" i="15" s="1"/>
  <c r="M1070" i="20"/>
  <c r="Q1070" i="20" s="1"/>
  <c r="S1070" i="20" s="1"/>
  <c r="U1070" i="20" s="1"/>
  <c r="J1071" i="20"/>
  <c r="J523" i="15"/>
  <c r="J525" i="15" s="1"/>
  <c r="J527" i="15" s="1"/>
  <c r="M522" i="15"/>
  <c r="Q522" i="15" s="1"/>
  <c r="S522" i="15" s="1"/>
  <c r="J925" i="15"/>
  <c r="M920" i="15"/>
  <c r="Q920" i="15" s="1"/>
  <c r="S920" i="15" s="1"/>
  <c r="M453" i="20"/>
  <c r="Q453" i="20" s="1"/>
  <c r="S453" i="20" s="1"/>
  <c r="U453" i="20" s="1"/>
  <c r="J454" i="20"/>
  <c r="J531" i="24" l="1"/>
  <c r="M529" i="24"/>
  <c r="Q529" i="24" s="1"/>
  <c r="S529" i="24" s="1"/>
  <c r="U529" i="24" s="1"/>
  <c r="I274" i="24"/>
  <c r="O274" i="24" s="1"/>
  <c r="Q274" i="24" s="1"/>
  <c r="S274" i="24" s="1"/>
  <c r="U274" i="24" s="1"/>
  <c r="I277" i="24"/>
  <c r="I276" i="24"/>
  <c r="O276" i="24" s="1"/>
  <c r="Q276" i="24" s="1"/>
  <c r="S276" i="24" s="1"/>
  <c r="U276" i="24" s="1"/>
  <c r="I275" i="24"/>
  <c r="O275" i="24" s="1"/>
  <c r="Q275" i="24" s="1"/>
  <c r="S275" i="24" s="1"/>
  <c r="U275" i="24" s="1"/>
  <c r="J336" i="24"/>
  <c r="J333" i="24"/>
  <c r="M333" i="24" s="1"/>
  <c r="Q333" i="24" s="1"/>
  <c r="S333" i="24" s="1"/>
  <c r="U333" i="24" s="1"/>
  <c r="M331" i="24"/>
  <c r="Q331" i="24" s="1"/>
  <c r="S331" i="24" s="1"/>
  <c r="U331" i="24" s="1"/>
  <c r="J334" i="24"/>
  <c r="J1049" i="24"/>
  <c r="J1050" i="24" s="1"/>
  <c r="M1047" i="24"/>
  <c r="Q1047" i="24" s="1"/>
  <c r="S1047" i="24" s="1"/>
  <c r="U1047" i="24" s="1"/>
  <c r="M434" i="24"/>
  <c r="Q434" i="24" s="1"/>
  <c r="S434" i="24" s="1"/>
  <c r="U434" i="24" s="1"/>
  <c r="J435" i="24"/>
  <c r="I899" i="24"/>
  <c r="O894" i="24"/>
  <c r="Q894" i="24" s="1"/>
  <c r="S894" i="24" s="1"/>
  <c r="U894" i="24" s="1"/>
  <c r="I898" i="24"/>
  <c r="O898" i="24" s="1"/>
  <c r="Q898" i="24" s="1"/>
  <c r="S898" i="24" s="1"/>
  <c r="U898" i="24" s="1"/>
  <c r="I897" i="24"/>
  <c r="O897" i="24" s="1"/>
  <c r="Q897" i="24" s="1"/>
  <c r="S897" i="24" s="1"/>
  <c r="U897" i="24" s="1"/>
  <c r="I896" i="24"/>
  <c r="O896" i="24" s="1"/>
  <c r="Q896" i="24" s="1"/>
  <c r="S896" i="24" s="1"/>
  <c r="U896" i="24" s="1"/>
  <c r="M1154" i="24"/>
  <c r="Q1154" i="24" s="1"/>
  <c r="S1154" i="24" s="1"/>
  <c r="U1154" i="24" s="1"/>
  <c r="J1155" i="24"/>
  <c r="J310" i="24"/>
  <c r="J315" i="24" s="1"/>
  <c r="M305" i="24"/>
  <c r="Q305" i="24" s="1"/>
  <c r="S305" i="24" s="1"/>
  <c r="U305" i="24" s="1"/>
  <c r="F43" i="24"/>
  <c r="C10" i="24"/>
  <c r="D11" i="24"/>
  <c r="F53" i="24"/>
  <c r="M1070" i="24"/>
  <c r="Q1070" i="24" s="1"/>
  <c r="S1070" i="24" s="1"/>
  <c r="U1070" i="24" s="1"/>
  <c r="J1071" i="24"/>
  <c r="M1015" i="24"/>
  <c r="Q1015" i="24" s="1"/>
  <c r="S1015" i="24" s="1"/>
  <c r="U1015" i="24" s="1"/>
  <c r="J1016" i="24"/>
  <c r="J399" i="24"/>
  <c r="M398" i="24"/>
  <c r="Q398" i="24" s="1"/>
  <c r="S398" i="24" s="1"/>
  <c r="U398" i="24" s="1"/>
  <c r="J953" i="24"/>
  <c r="J951" i="24"/>
  <c r="J950" i="24"/>
  <c r="M950" i="24" s="1"/>
  <c r="Q950" i="24" s="1"/>
  <c r="S950" i="24" s="1"/>
  <c r="U950" i="24" s="1"/>
  <c r="M948" i="24"/>
  <c r="Q948" i="24" s="1"/>
  <c r="S948" i="24" s="1"/>
  <c r="U948" i="24" s="1"/>
  <c r="J454" i="24"/>
  <c r="M453" i="24"/>
  <c r="Q453" i="24" s="1"/>
  <c r="S453" i="24" s="1"/>
  <c r="U453" i="24" s="1"/>
  <c r="M307" i="24"/>
  <c r="Q307" i="24" s="1"/>
  <c r="S307" i="24" s="1"/>
  <c r="U307" i="24" s="1"/>
  <c r="J312" i="24"/>
  <c r="J317" i="24" s="1"/>
  <c r="I287" i="15"/>
  <c r="O287" i="15" s="1"/>
  <c r="Q287" i="15" s="1"/>
  <c r="S287" i="15" s="1"/>
  <c r="I284" i="15"/>
  <c r="O284" i="15" s="1"/>
  <c r="Q284" i="15" s="1"/>
  <c r="S284" i="15" s="1"/>
  <c r="O282" i="15"/>
  <c r="Q282" i="15" s="1"/>
  <c r="S282" i="15" s="1"/>
  <c r="I285" i="15"/>
  <c r="O285" i="15" s="1"/>
  <c r="Q285" i="15" s="1"/>
  <c r="S285" i="15" s="1"/>
  <c r="I286" i="15"/>
  <c r="O286" i="15" s="1"/>
  <c r="Q286" i="15" s="1"/>
  <c r="S286" i="15" s="1"/>
  <c r="M527" i="15"/>
  <c r="Q527" i="15" s="1"/>
  <c r="S527" i="15" s="1"/>
  <c r="J528" i="15"/>
  <c r="J954" i="20"/>
  <c r="M951" i="20"/>
  <c r="Q951" i="20" s="1"/>
  <c r="S951" i="20" s="1"/>
  <c r="U951" i="20" s="1"/>
  <c r="J1050" i="15"/>
  <c r="J1051" i="15" s="1"/>
  <c r="M1048" i="15"/>
  <c r="Q1048" i="15" s="1"/>
  <c r="S1048" i="15" s="1"/>
  <c r="J1151" i="15"/>
  <c r="J1153" i="15" s="1"/>
  <c r="J1155" i="15" s="1"/>
  <c r="M1150" i="15"/>
  <c r="Q1150" i="15" s="1"/>
  <c r="S1150" i="15" s="1"/>
  <c r="M922" i="20"/>
  <c r="Q922" i="20" s="1"/>
  <c r="S922" i="20" s="1"/>
  <c r="U922" i="20" s="1"/>
  <c r="J927" i="20"/>
  <c r="J932" i="20" s="1"/>
  <c r="J333" i="15"/>
  <c r="M333" i="15" s="1"/>
  <c r="Q333" i="15" s="1"/>
  <c r="S333" i="15" s="1"/>
  <c r="J334" i="15"/>
  <c r="M331" i="15"/>
  <c r="Q331" i="15" s="1"/>
  <c r="S331" i="15" s="1"/>
  <c r="J336" i="15"/>
  <c r="F53" i="15"/>
  <c r="F43" i="15"/>
  <c r="C10" i="15"/>
  <c r="D11" i="15"/>
  <c r="M1050" i="20"/>
  <c r="Q1050" i="20" s="1"/>
  <c r="S1050" i="20" s="1"/>
  <c r="U1050" i="20" s="1"/>
  <c r="J1051" i="20"/>
  <c r="J456" i="20"/>
  <c r="J457" i="20" s="1"/>
  <c r="M454" i="20"/>
  <c r="Q454" i="20" s="1"/>
  <c r="S454" i="20" s="1"/>
  <c r="U454" i="20" s="1"/>
  <c r="J1073" i="20"/>
  <c r="J1074" i="20" s="1"/>
  <c r="M1071" i="20"/>
  <c r="Q1071" i="20" s="1"/>
  <c r="S1071" i="20" s="1"/>
  <c r="U1071" i="20" s="1"/>
  <c r="O895" i="15"/>
  <c r="Q895" i="15" s="1"/>
  <c r="S895" i="15" s="1"/>
  <c r="I900" i="15"/>
  <c r="I898" i="15"/>
  <c r="O898" i="15" s="1"/>
  <c r="Q898" i="15" s="1"/>
  <c r="S898" i="15" s="1"/>
  <c r="I899" i="15"/>
  <c r="O899" i="15" s="1"/>
  <c r="Q899" i="15" s="1"/>
  <c r="S899" i="15" s="1"/>
  <c r="I897" i="15"/>
  <c r="O897" i="15" s="1"/>
  <c r="Q897" i="15" s="1"/>
  <c r="S897" i="15" s="1"/>
  <c r="J400" i="15"/>
  <c r="M400" i="15" s="1"/>
  <c r="Q400" i="15" s="1"/>
  <c r="S400" i="15" s="1"/>
  <c r="M399" i="15"/>
  <c r="Q399" i="15" s="1"/>
  <c r="S399" i="15" s="1"/>
  <c r="J929" i="15"/>
  <c r="J934" i="15" s="1"/>
  <c r="M924" i="15"/>
  <c r="Q924" i="15" s="1"/>
  <c r="S924" i="15" s="1"/>
  <c r="J930" i="15"/>
  <c r="J935" i="15" s="1"/>
  <c r="M925" i="15"/>
  <c r="Q925" i="15" s="1"/>
  <c r="S925" i="15" s="1"/>
  <c r="G189" i="8"/>
  <c r="J188" i="8"/>
  <c r="N188" i="8" s="1"/>
  <c r="P188" i="8" s="1"/>
  <c r="M399" i="20"/>
  <c r="Q399" i="20" s="1"/>
  <c r="S399" i="20" s="1"/>
  <c r="U399" i="20" s="1"/>
  <c r="J400" i="20"/>
  <c r="M400" i="20" s="1"/>
  <c r="Q400" i="20" s="1"/>
  <c r="S400" i="20" s="1"/>
  <c r="U400" i="20" s="1"/>
  <c r="I897" i="20"/>
  <c r="O897" i="20" s="1"/>
  <c r="Q897" i="20" s="1"/>
  <c r="S897" i="20" s="1"/>
  <c r="U897" i="20" s="1"/>
  <c r="I896" i="20"/>
  <c r="O896" i="20" s="1"/>
  <c r="Q896" i="20" s="1"/>
  <c r="S896" i="20" s="1"/>
  <c r="U896" i="20" s="1"/>
  <c r="I899" i="20"/>
  <c r="O894" i="20"/>
  <c r="Q894" i="20" s="1"/>
  <c r="S894" i="20" s="1"/>
  <c r="U894" i="20" s="1"/>
  <c r="I898" i="20"/>
  <c r="O898" i="20" s="1"/>
  <c r="Q898" i="20" s="1"/>
  <c r="S898" i="20" s="1"/>
  <c r="U898" i="20" s="1"/>
  <c r="M1017" i="15"/>
  <c r="Q1017" i="15" s="1"/>
  <c r="S1017" i="15" s="1"/>
  <c r="J1018" i="15"/>
  <c r="M1018" i="15" s="1"/>
  <c r="Q1018" i="15" s="1"/>
  <c r="S1018" i="15" s="1"/>
  <c r="M1015" i="20"/>
  <c r="Q1015" i="20" s="1"/>
  <c r="S1015" i="20" s="1"/>
  <c r="U1015" i="20" s="1"/>
  <c r="J1016" i="20"/>
  <c r="J1072" i="15"/>
  <c r="M1071" i="15"/>
  <c r="Q1071" i="15" s="1"/>
  <c r="S1071" i="15" s="1"/>
  <c r="M1154" i="20"/>
  <c r="Q1154" i="20" s="1"/>
  <c r="S1154" i="20" s="1"/>
  <c r="U1154" i="20" s="1"/>
  <c r="J1155" i="20"/>
  <c r="I282" i="20"/>
  <c r="O277" i="20"/>
  <c r="Q277" i="20" s="1"/>
  <c r="S277" i="20" s="1"/>
  <c r="U277" i="20" s="1"/>
  <c r="I281" i="20"/>
  <c r="O281" i="20" s="1"/>
  <c r="Q281" i="20" s="1"/>
  <c r="S281" i="20" s="1"/>
  <c r="U281" i="20" s="1"/>
  <c r="I280" i="20"/>
  <c r="O280" i="20" s="1"/>
  <c r="Q280" i="20" s="1"/>
  <c r="S280" i="20" s="1"/>
  <c r="U280" i="20" s="1"/>
  <c r="I279" i="20"/>
  <c r="O279" i="20" s="1"/>
  <c r="Q279" i="20" s="1"/>
  <c r="S279" i="20" s="1"/>
  <c r="U279" i="20" s="1"/>
  <c r="J337" i="20"/>
  <c r="M334" i="20"/>
  <c r="Q334" i="20" s="1"/>
  <c r="S334" i="20" s="1"/>
  <c r="U334" i="20" s="1"/>
  <c r="M528" i="20"/>
  <c r="Q528" i="20" s="1"/>
  <c r="S528" i="20" s="1"/>
  <c r="U528" i="20" s="1"/>
  <c r="J529" i="20"/>
  <c r="J435" i="20"/>
  <c r="M434" i="20"/>
  <c r="Q434" i="20" s="1"/>
  <c r="S434" i="20" s="1"/>
  <c r="U434" i="20" s="1"/>
  <c r="J956" i="15"/>
  <c r="M955" i="15"/>
  <c r="Q955" i="15" s="1"/>
  <c r="S955" i="15" s="1"/>
  <c r="M305" i="20"/>
  <c r="Q305" i="20" s="1"/>
  <c r="S305" i="20" s="1"/>
  <c r="U305" i="20" s="1"/>
  <c r="J310" i="20"/>
  <c r="J315" i="20" s="1"/>
  <c r="J312" i="20"/>
  <c r="J317" i="20" s="1"/>
  <c r="M307" i="20"/>
  <c r="Q307" i="20" s="1"/>
  <c r="S307" i="20" s="1"/>
  <c r="U307" i="20" s="1"/>
  <c r="E189" i="11"/>
  <c r="H188" i="11"/>
  <c r="L188" i="11" s="1"/>
  <c r="N188" i="11" s="1"/>
  <c r="M453" i="15"/>
  <c r="Q453" i="15" s="1"/>
  <c r="S453" i="15" s="1"/>
  <c r="J454" i="15"/>
  <c r="M436" i="15"/>
  <c r="Q436" i="15" s="1"/>
  <c r="S436" i="15" s="1"/>
  <c r="J437" i="15"/>
  <c r="J439" i="15" s="1"/>
  <c r="D11" i="20"/>
  <c r="F53" i="20"/>
  <c r="F43" i="20"/>
  <c r="C10" i="20"/>
  <c r="I280" i="24" l="1"/>
  <c r="O280" i="24" s="1"/>
  <c r="Q280" i="24" s="1"/>
  <c r="S280" i="24" s="1"/>
  <c r="U280" i="24" s="1"/>
  <c r="I279" i="24"/>
  <c r="O279" i="24" s="1"/>
  <c r="Q279" i="24" s="1"/>
  <c r="S279" i="24" s="1"/>
  <c r="U279" i="24" s="1"/>
  <c r="I282" i="24"/>
  <c r="I281" i="24"/>
  <c r="O281" i="24" s="1"/>
  <c r="Q281" i="24" s="1"/>
  <c r="S281" i="24" s="1"/>
  <c r="U281" i="24" s="1"/>
  <c r="O277" i="24"/>
  <c r="Q277" i="24" s="1"/>
  <c r="S277" i="24" s="1"/>
  <c r="U277" i="24" s="1"/>
  <c r="J954" i="24"/>
  <c r="M951" i="24"/>
  <c r="Q951" i="24" s="1"/>
  <c r="S951" i="24" s="1"/>
  <c r="U951" i="24" s="1"/>
  <c r="M1016" i="24"/>
  <c r="Q1016" i="24" s="1"/>
  <c r="S1016" i="24" s="1"/>
  <c r="U1016" i="24" s="1"/>
  <c r="J1017" i="24"/>
  <c r="M1017" i="24" s="1"/>
  <c r="Q1017" i="24" s="1"/>
  <c r="S1017" i="24" s="1"/>
  <c r="U1017" i="24" s="1"/>
  <c r="I904" i="24"/>
  <c r="O904" i="24" s="1"/>
  <c r="Q904" i="24" s="1"/>
  <c r="S904" i="24" s="1"/>
  <c r="U904" i="24" s="1"/>
  <c r="I903" i="24"/>
  <c r="O903" i="24" s="1"/>
  <c r="Q903" i="24" s="1"/>
  <c r="S903" i="24" s="1"/>
  <c r="U903" i="24" s="1"/>
  <c r="I902" i="24"/>
  <c r="O902" i="24" s="1"/>
  <c r="Q902" i="24" s="1"/>
  <c r="S902" i="24" s="1"/>
  <c r="U902" i="24" s="1"/>
  <c r="I901" i="24"/>
  <c r="O901" i="24" s="1"/>
  <c r="Q901" i="24" s="1"/>
  <c r="S901" i="24" s="1"/>
  <c r="U901" i="24" s="1"/>
  <c r="O899" i="24"/>
  <c r="Q899" i="24" s="1"/>
  <c r="S899" i="24" s="1"/>
  <c r="U899" i="24" s="1"/>
  <c r="J1051" i="24"/>
  <c r="M1050" i="24"/>
  <c r="Q1050" i="24" s="1"/>
  <c r="S1050" i="24" s="1"/>
  <c r="U1050" i="24" s="1"/>
  <c r="J456" i="24"/>
  <c r="J457" i="24" s="1"/>
  <c r="M454" i="24"/>
  <c r="Q454" i="24" s="1"/>
  <c r="S454" i="24" s="1"/>
  <c r="U454" i="24" s="1"/>
  <c r="D12" i="24"/>
  <c r="C11" i="24"/>
  <c r="M435" i="24"/>
  <c r="Q435" i="24" s="1"/>
  <c r="S435" i="24" s="1"/>
  <c r="U435" i="24" s="1"/>
  <c r="J436" i="24"/>
  <c r="J337" i="24"/>
  <c r="M334" i="24"/>
  <c r="Q334" i="24" s="1"/>
  <c r="S334" i="24" s="1"/>
  <c r="U334" i="24" s="1"/>
  <c r="J400" i="24"/>
  <c r="M400" i="24" s="1"/>
  <c r="Q400" i="24" s="1"/>
  <c r="S400" i="24" s="1"/>
  <c r="U400" i="24" s="1"/>
  <c r="M399" i="24"/>
  <c r="Q399" i="24" s="1"/>
  <c r="S399" i="24" s="1"/>
  <c r="U399" i="24" s="1"/>
  <c r="J1073" i="24"/>
  <c r="J1074" i="24" s="1"/>
  <c r="M1071" i="24"/>
  <c r="Q1071" i="24" s="1"/>
  <c r="S1071" i="24" s="1"/>
  <c r="U1071" i="24" s="1"/>
  <c r="M1155" i="24"/>
  <c r="Q1155" i="24" s="1"/>
  <c r="S1155" i="24" s="1"/>
  <c r="U1155" i="24" s="1"/>
  <c r="J1156" i="24"/>
  <c r="J533" i="24"/>
  <c r="J532" i="24"/>
  <c r="J1075" i="20"/>
  <c r="M1074" i="20"/>
  <c r="Q1074" i="20" s="1"/>
  <c r="S1074" i="20" s="1"/>
  <c r="U1074" i="20" s="1"/>
  <c r="J1156" i="15"/>
  <c r="M1155" i="15"/>
  <c r="Q1155" i="15" s="1"/>
  <c r="S1155" i="15" s="1"/>
  <c r="J955" i="20"/>
  <c r="M954" i="20"/>
  <c r="Q954" i="20" s="1"/>
  <c r="S954" i="20" s="1"/>
  <c r="U954" i="20" s="1"/>
  <c r="J436" i="20"/>
  <c r="M435" i="20"/>
  <c r="Q435" i="20" s="1"/>
  <c r="S435" i="20" s="1"/>
  <c r="U435" i="20" s="1"/>
  <c r="J338" i="20"/>
  <c r="M337" i="20"/>
  <c r="Q337" i="20" s="1"/>
  <c r="S337" i="20" s="1"/>
  <c r="U337" i="20" s="1"/>
  <c r="I904" i="20"/>
  <c r="O904" i="20" s="1"/>
  <c r="Q904" i="20" s="1"/>
  <c r="S904" i="20" s="1"/>
  <c r="U904" i="20" s="1"/>
  <c r="I903" i="20"/>
  <c r="O903" i="20" s="1"/>
  <c r="Q903" i="20" s="1"/>
  <c r="S903" i="20" s="1"/>
  <c r="U903" i="20" s="1"/>
  <c r="I902" i="20"/>
  <c r="O902" i="20" s="1"/>
  <c r="Q902" i="20" s="1"/>
  <c r="S902" i="20" s="1"/>
  <c r="U902" i="20" s="1"/>
  <c r="I901" i="20"/>
  <c r="O901" i="20" s="1"/>
  <c r="Q901" i="20" s="1"/>
  <c r="S901" i="20" s="1"/>
  <c r="U901" i="20" s="1"/>
  <c r="O899" i="20"/>
  <c r="Q899" i="20" s="1"/>
  <c r="S899" i="20" s="1"/>
  <c r="U899" i="20" s="1"/>
  <c r="I903" i="15"/>
  <c r="O903" i="15" s="1"/>
  <c r="Q903" i="15" s="1"/>
  <c r="S903" i="15" s="1"/>
  <c r="I905" i="15"/>
  <c r="O905" i="15" s="1"/>
  <c r="Q905" i="15" s="1"/>
  <c r="S905" i="15" s="1"/>
  <c r="I902" i="15"/>
  <c r="O902" i="15" s="1"/>
  <c r="Q902" i="15" s="1"/>
  <c r="S902" i="15" s="1"/>
  <c r="I904" i="15"/>
  <c r="O904" i="15" s="1"/>
  <c r="Q904" i="15" s="1"/>
  <c r="S904" i="15" s="1"/>
  <c r="O900" i="15"/>
  <c r="Q900" i="15" s="1"/>
  <c r="S900" i="15" s="1"/>
  <c r="C11" i="15"/>
  <c r="D12" i="15"/>
  <c r="M528" i="15"/>
  <c r="Q528" i="15" s="1"/>
  <c r="S528" i="15" s="1"/>
  <c r="J529" i="15"/>
  <c r="J456" i="15"/>
  <c r="J457" i="15" s="1"/>
  <c r="M454" i="15"/>
  <c r="Q454" i="15" s="1"/>
  <c r="S454" i="15" s="1"/>
  <c r="J531" i="20"/>
  <c r="M529" i="20"/>
  <c r="Q529" i="20" s="1"/>
  <c r="S529" i="20" s="1"/>
  <c r="U529" i="20" s="1"/>
  <c r="I287" i="20"/>
  <c r="O287" i="20" s="1"/>
  <c r="Q287" i="20" s="1"/>
  <c r="S287" i="20" s="1"/>
  <c r="U287" i="20" s="1"/>
  <c r="I286" i="20"/>
  <c r="O286" i="20" s="1"/>
  <c r="Q286" i="20" s="1"/>
  <c r="S286" i="20" s="1"/>
  <c r="U286" i="20" s="1"/>
  <c r="I285" i="20"/>
  <c r="O285" i="20" s="1"/>
  <c r="Q285" i="20" s="1"/>
  <c r="S285" i="20" s="1"/>
  <c r="U285" i="20" s="1"/>
  <c r="I284" i="20"/>
  <c r="O284" i="20" s="1"/>
  <c r="Q284" i="20" s="1"/>
  <c r="S284" i="20" s="1"/>
  <c r="U284" i="20" s="1"/>
  <c r="O282" i="20"/>
  <c r="Q282" i="20" s="1"/>
  <c r="S282" i="20" s="1"/>
  <c r="U282" i="20" s="1"/>
  <c r="J1074" i="15"/>
  <c r="J1075" i="15" s="1"/>
  <c r="M1072" i="15"/>
  <c r="Q1072" i="15" s="1"/>
  <c r="S1072" i="15" s="1"/>
  <c r="M457" i="20"/>
  <c r="Q457" i="20" s="1"/>
  <c r="S457" i="20" s="1"/>
  <c r="U457" i="20" s="1"/>
  <c r="J458" i="20"/>
  <c r="M1051" i="15"/>
  <c r="Q1051" i="15" s="1"/>
  <c r="S1051" i="15" s="1"/>
  <c r="J1052" i="15"/>
  <c r="C11" i="20"/>
  <c r="D12" i="20"/>
  <c r="J957" i="15"/>
  <c r="M956" i="15"/>
  <c r="Q956" i="15" s="1"/>
  <c r="S956" i="15" s="1"/>
  <c r="M1155" i="20"/>
  <c r="Q1155" i="20" s="1"/>
  <c r="S1155" i="20" s="1"/>
  <c r="U1155" i="20" s="1"/>
  <c r="J1156" i="20"/>
  <c r="M1016" i="20"/>
  <c r="Q1016" i="20" s="1"/>
  <c r="S1016" i="20" s="1"/>
  <c r="U1016" i="20" s="1"/>
  <c r="J1017" i="20"/>
  <c r="M1017" i="20" s="1"/>
  <c r="Q1017" i="20" s="1"/>
  <c r="S1017" i="20" s="1"/>
  <c r="U1017" i="20" s="1"/>
  <c r="M1051" i="20"/>
  <c r="Q1051" i="20" s="1"/>
  <c r="S1051" i="20" s="1"/>
  <c r="U1051" i="20" s="1"/>
  <c r="J1052" i="20"/>
  <c r="J337" i="15"/>
  <c r="M334" i="15"/>
  <c r="Q334" i="15" s="1"/>
  <c r="S334" i="15" s="1"/>
  <c r="M532" i="24" l="1"/>
  <c r="Q532" i="24" s="1"/>
  <c r="S532" i="24" s="1"/>
  <c r="U532" i="24" s="1"/>
  <c r="J534" i="24"/>
  <c r="M534" i="24" s="1"/>
  <c r="Q534" i="24" s="1"/>
  <c r="S534" i="24" s="1"/>
  <c r="U534" i="24" s="1"/>
  <c r="M533" i="24"/>
  <c r="Q533" i="24" s="1"/>
  <c r="S533" i="24" s="1"/>
  <c r="U533" i="24" s="1"/>
  <c r="J535" i="24"/>
  <c r="M1074" i="24"/>
  <c r="Q1074" i="24" s="1"/>
  <c r="S1074" i="24" s="1"/>
  <c r="U1074" i="24" s="1"/>
  <c r="J1075" i="24"/>
  <c r="J338" i="24"/>
  <c r="M337" i="24"/>
  <c r="Q337" i="24" s="1"/>
  <c r="S337" i="24" s="1"/>
  <c r="U337" i="24" s="1"/>
  <c r="C12" i="24"/>
  <c r="D13" i="24"/>
  <c r="J1052" i="24"/>
  <c r="M1051" i="24"/>
  <c r="Q1051" i="24" s="1"/>
  <c r="S1051" i="24" s="1"/>
  <c r="U1051" i="24" s="1"/>
  <c r="I287" i="24"/>
  <c r="O287" i="24" s="1"/>
  <c r="Q287" i="24" s="1"/>
  <c r="S287" i="24" s="1"/>
  <c r="U287" i="24" s="1"/>
  <c r="I286" i="24"/>
  <c r="O286" i="24" s="1"/>
  <c r="Q286" i="24" s="1"/>
  <c r="S286" i="24" s="1"/>
  <c r="U286" i="24" s="1"/>
  <c r="I285" i="24"/>
  <c r="O285" i="24" s="1"/>
  <c r="Q285" i="24" s="1"/>
  <c r="S285" i="24" s="1"/>
  <c r="U285" i="24" s="1"/>
  <c r="I284" i="24"/>
  <c r="O284" i="24" s="1"/>
  <c r="Q284" i="24" s="1"/>
  <c r="S284" i="24" s="1"/>
  <c r="U284" i="24" s="1"/>
  <c r="O282" i="24"/>
  <c r="Q282" i="24" s="1"/>
  <c r="S282" i="24" s="1"/>
  <c r="U282" i="24" s="1"/>
  <c r="J1158" i="24"/>
  <c r="M1156" i="24"/>
  <c r="Q1156" i="24" s="1"/>
  <c r="S1156" i="24" s="1"/>
  <c r="U1156" i="24" s="1"/>
  <c r="M436" i="24"/>
  <c r="Q436" i="24" s="1"/>
  <c r="S436" i="24" s="1"/>
  <c r="U436" i="24" s="1"/>
  <c r="J437" i="24"/>
  <c r="J439" i="24" s="1"/>
  <c r="J955" i="24"/>
  <c r="M954" i="24"/>
  <c r="Q954" i="24" s="1"/>
  <c r="S954" i="24" s="1"/>
  <c r="U954" i="24" s="1"/>
  <c r="J458" i="24"/>
  <c r="M457" i="24"/>
  <c r="Q457" i="24" s="1"/>
  <c r="S457" i="24" s="1"/>
  <c r="U457" i="24" s="1"/>
  <c r="J531" i="15"/>
  <c r="M529" i="15"/>
  <c r="Q529" i="15" s="1"/>
  <c r="S529" i="15" s="1"/>
  <c r="M1052" i="15"/>
  <c r="Q1052" i="15" s="1"/>
  <c r="S1052" i="15" s="1"/>
  <c r="J1053" i="15"/>
  <c r="J533" i="20"/>
  <c r="J532" i="20"/>
  <c r="J437" i="20"/>
  <c r="J439" i="20" s="1"/>
  <c r="M436" i="20"/>
  <c r="Q436" i="20" s="1"/>
  <c r="S436" i="20" s="1"/>
  <c r="U436" i="20" s="1"/>
  <c r="M1156" i="15"/>
  <c r="Q1156" i="15" s="1"/>
  <c r="S1156" i="15" s="1"/>
  <c r="J1157" i="15"/>
  <c r="M337" i="15"/>
  <c r="Q337" i="15" s="1"/>
  <c r="S337" i="15" s="1"/>
  <c r="J338" i="15"/>
  <c r="M957" i="15"/>
  <c r="Q957" i="15" s="1"/>
  <c r="S957" i="15" s="1"/>
  <c r="J958" i="15"/>
  <c r="J1076" i="15"/>
  <c r="M1075" i="15"/>
  <c r="Q1075" i="15" s="1"/>
  <c r="S1075" i="15" s="1"/>
  <c r="C12" i="15"/>
  <c r="D13" i="15"/>
  <c r="M1052" i="20"/>
  <c r="Q1052" i="20" s="1"/>
  <c r="S1052" i="20" s="1"/>
  <c r="U1052" i="20" s="1"/>
  <c r="J1053" i="20"/>
  <c r="J1158" i="20"/>
  <c r="M1156" i="20"/>
  <c r="Q1156" i="20" s="1"/>
  <c r="S1156" i="20" s="1"/>
  <c r="U1156" i="20" s="1"/>
  <c r="D13" i="20"/>
  <c r="C12" i="20"/>
  <c r="M458" i="20"/>
  <c r="Q458" i="20" s="1"/>
  <c r="S458" i="20" s="1"/>
  <c r="U458" i="20" s="1"/>
  <c r="J459" i="20"/>
  <c r="M457" i="15"/>
  <c r="Q457" i="15" s="1"/>
  <c r="S457" i="15" s="1"/>
  <c r="J458" i="15"/>
  <c r="M338" i="20"/>
  <c r="Q338" i="20" s="1"/>
  <c r="S338" i="20" s="1"/>
  <c r="U338" i="20" s="1"/>
  <c r="J339" i="20"/>
  <c r="J956" i="20"/>
  <c r="M955" i="20"/>
  <c r="Q955" i="20" s="1"/>
  <c r="S955" i="20" s="1"/>
  <c r="U955" i="20" s="1"/>
  <c r="J1076" i="20"/>
  <c r="M1075" i="20"/>
  <c r="Q1075" i="20" s="1"/>
  <c r="S1075" i="20" s="1"/>
  <c r="U1075" i="20" s="1"/>
  <c r="M535" i="24" l="1"/>
  <c r="Q535" i="24" s="1"/>
  <c r="S535" i="24" s="1"/>
  <c r="U535" i="24" s="1"/>
  <c r="J537" i="24"/>
  <c r="J1053" i="24"/>
  <c r="M1052" i="24"/>
  <c r="Q1052" i="24" s="1"/>
  <c r="S1052" i="24" s="1"/>
  <c r="U1052" i="24" s="1"/>
  <c r="J339" i="24"/>
  <c r="M338" i="24"/>
  <c r="Q338" i="24" s="1"/>
  <c r="S338" i="24" s="1"/>
  <c r="U338" i="24" s="1"/>
  <c r="J459" i="24"/>
  <c r="M458" i="24"/>
  <c r="Q458" i="24" s="1"/>
  <c r="S458" i="24" s="1"/>
  <c r="U458" i="24" s="1"/>
  <c r="J956" i="24"/>
  <c r="M955" i="24"/>
  <c r="Q955" i="24" s="1"/>
  <c r="S955" i="24" s="1"/>
  <c r="U955" i="24" s="1"/>
  <c r="J1160" i="24"/>
  <c r="J1159" i="24"/>
  <c r="F575" i="24"/>
  <c r="D14" i="24"/>
  <c r="C13" i="24"/>
  <c r="M1075" i="24"/>
  <c r="Q1075" i="24" s="1"/>
  <c r="S1075" i="24" s="1"/>
  <c r="U1075" i="24" s="1"/>
  <c r="J1076" i="24"/>
  <c r="M458" i="15"/>
  <c r="Q458" i="15" s="1"/>
  <c r="S458" i="15" s="1"/>
  <c r="J459" i="15"/>
  <c r="M1053" i="20"/>
  <c r="Q1053" i="20" s="1"/>
  <c r="S1053" i="20" s="1"/>
  <c r="U1053" i="20" s="1"/>
  <c r="J1054" i="20"/>
  <c r="J1056" i="20" s="1"/>
  <c r="M338" i="15"/>
  <c r="Q338" i="15" s="1"/>
  <c r="S338" i="15" s="1"/>
  <c r="J339" i="15"/>
  <c r="M1053" i="15"/>
  <c r="Q1053" i="15" s="1"/>
  <c r="S1053" i="15" s="1"/>
  <c r="J1054" i="15"/>
  <c r="J1077" i="20"/>
  <c r="M1076" i="20"/>
  <c r="Q1076" i="20" s="1"/>
  <c r="S1076" i="20" s="1"/>
  <c r="U1076" i="20" s="1"/>
  <c r="J957" i="20"/>
  <c r="M956" i="20"/>
  <c r="Q956" i="20" s="1"/>
  <c r="S956" i="20" s="1"/>
  <c r="U956" i="20" s="1"/>
  <c r="F575" i="20"/>
  <c r="C13" i="20"/>
  <c r="D14" i="20"/>
  <c r="J1077" i="15"/>
  <c r="M1076" i="15"/>
  <c r="Q1076" i="15" s="1"/>
  <c r="S1076" i="15" s="1"/>
  <c r="M339" i="20"/>
  <c r="Q339" i="20" s="1"/>
  <c r="S339" i="20" s="1"/>
  <c r="U339" i="20" s="1"/>
  <c r="J340" i="20"/>
  <c r="M459" i="20"/>
  <c r="Q459" i="20" s="1"/>
  <c r="S459" i="20" s="1"/>
  <c r="U459" i="20" s="1"/>
  <c r="J460" i="20"/>
  <c r="F575" i="15"/>
  <c r="C13" i="15"/>
  <c r="D14" i="15"/>
  <c r="J960" i="15"/>
  <c r="M960" i="15" s="1"/>
  <c r="Q960" i="15" s="1"/>
  <c r="S960" i="15" s="1"/>
  <c r="J961" i="15"/>
  <c r="M958" i="15"/>
  <c r="Q958" i="15" s="1"/>
  <c r="S958" i="15" s="1"/>
  <c r="J1159" i="15"/>
  <c r="M1157" i="15"/>
  <c r="Q1157" i="15" s="1"/>
  <c r="S1157" i="15" s="1"/>
  <c r="M532" i="20"/>
  <c r="Q532" i="20" s="1"/>
  <c r="S532" i="20" s="1"/>
  <c r="U532" i="20" s="1"/>
  <c r="J534" i="20"/>
  <c r="M534" i="20" s="1"/>
  <c r="Q534" i="20" s="1"/>
  <c r="S534" i="20" s="1"/>
  <c r="U534" i="20" s="1"/>
  <c r="J1160" i="20"/>
  <c r="J1159" i="20"/>
  <c r="M533" i="20"/>
  <c r="Q533" i="20" s="1"/>
  <c r="S533" i="20" s="1"/>
  <c r="U533" i="20" s="1"/>
  <c r="J535" i="20"/>
  <c r="J532" i="15"/>
  <c r="J533" i="15"/>
  <c r="J1162" i="24" l="1"/>
  <c r="M1160" i="24"/>
  <c r="Q1160" i="24" s="1"/>
  <c r="S1160" i="24" s="1"/>
  <c r="U1160" i="24" s="1"/>
  <c r="J460" i="24"/>
  <c r="M459" i="24"/>
  <c r="Q459" i="24" s="1"/>
  <c r="S459" i="24" s="1"/>
  <c r="U459" i="24" s="1"/>
  <c r="M1053" i="24"/>
  <c r="Q1053" i="24" s="1"/>
  <c r="S1053" i="24" s="1"/>
  <c r="U1053" i="24" s="1"/>
  <c r="J1054" i="24"/>
  <c r="J1056" i="24" s="1"/>
  <c r="M1159" i="24"/>
  <c r="Q1159" i="24" s="1"/>
  <c r="S1159" i="24" s="1"/>
  <c r="U1159" i="24" s="1"/>
  <c r="J1161" i="24"/>
  <c r="M1161" i="24" s="1"/>
  <c r="Q1161" i="24" s="1"/>
  <c r="S1161" i="24" s="1"/>
  <c r="U1161" i="24" s="1"/>
  <c r="M537" i="24"/>
  <c r="Q537" i="24" s="1"/>
  <c r="S537" i="24" s="1"/>
  <c r="U537" i="24" s="1"/>
  <c r="J538" i="24"/>
  <c r="C14" i="24"/>
  <c r="D15" i="24"/>
  <c r="M1076" i="24"/>
  <c r="Q1076" i="24" s="1"/>
  <c r="S1076" i="24" s="1"/>
  <c r="U1076" i="24" s="1"/>
  <c r="J1077" i="24"/>
  <c r="J957" i="24"/>
  <c r="M956" i="24"/>
  <c r="Q956" i="24" s="1"/>
  <c r="S956" i="24" s="1"/>
  <c r="U956" i="24" s="1"/>
  <c r="J340" i="24"/>
  <c r="M339" i="24"/>
  <c r="Q339" i="24" s="1"/>
  <c r="S339" i="24" s="1"/>
  <c r="U339" i="24" s="1"/>
  <c r="M535" i="20"/>
  <c r="Q535" i="20" s="1"/>
  <c r="S535" i="20" s="1"/>
  <c r="U535" i="20" s="1"/>
  <c r="J537" i="20"/>
  <c r="M1159" i="20"/>
  <c r="Q1159" i="20" s="1"/>
  <c r="S1159" i="20" s="1"/>
  <c r="U1159" i="20" s="1"/>
  <c r="J1161" i="20"/>
  <c r="M1161" i="20" s="1"/>
  <c r="Q1161" i="20" s="1"/>
  <c r="S1161" i="20" s="1"/>
  <c r="U1161" i="20" s="1"/>
  <c r="M532" i="15"/>
  <c r="Q532" i="15" s="1"/>
  <c r="S532" i="15" s="1"/>
  <c r="J534" i="15"/>
  <c r="M534" i="15" s="1"/>
  <c r="Q534" i="15" s="1"/>
  <c r="S534" i="15" s="1"/>
  <c r="M1160" i="20"/>
  <c r="Q1160" i="20" s="1"/>
  <c r="S1160" i="20" s="1"/>
  <c r="U1160" i="20" s="1"/>
  <c r="J1162" i="20"/>
  <c r="J1160" i="15"/>
  <c r="J1161" i="15"/>
  <c r="C14" i="15"/>
  <c r="D15" i="15"/>
  <c r="M1077" i="15"/>
  <c r="Q1077" i="15" s="1"/>
  <c r="S1077" i="15" s="1"/>
  <c r="J1078" i="15"/>
  <c r="M1054" i="15"/>
  <c r="Q1054" i="15" s="1"/>
  <c r="S1054" i="15" s="1"/>
  <c r="J1055" i="15"/>
  <c r="J1057" i="15" s="1"/>
  <c r="J343" i="20"/>
  <c r="J342" i="20"/>
  <c r="M342" i="20" s="1"/>
  <c r="Q342" i="20" s="1"/>
  <c r="S342" i="20" s="1"/>
  <c r="U342" i="20" s="1"/>
  <c r="M340" i="20"/>
  <c r="Q340" i="20" s="1"/>
  <c r="S340" i="20" s="1"/>
  <c r="U340" i="20" s="1"/>
  <c r="D15" i="20"/>
  <c r="C14" i="20"/>
  <c r="J960" i="20"/>
  <c r="J959" i="20"/>
  <c r="M959" i="20" s="1"/>
  <c r="Q959" i="20" s="1"/>
  <c r="S959" i="20" s="1"/>
  <c r="U959" i="20" s="1"/>
  <c r="M957" i="20"/>
  <c r="Q957" i="20" s="1"/>
  <c r="S957" i="20" s="1"/>
  <c r="U957" i="20" s="1"/>
  <c r="J963" i="15"/>
  <c r="J964" i="15" s="1"/>
  <c r="M961" i="15"/>
  <c r="Q961" i="15" s="1"/>
  <c r="S961" i="15" s="1"/>
  <c r="M339" i="15"/>
  <c r="Q339" i="15" s="1"/>
  <c r="S339" i="15" s="1"/>
  <c r="J340" i="15"/>
  <c r="J460" i="15"/>
  <c r="M459" i="15"/>
  <c r="Q459" i="15" s="1"/>
  <c r="S459" i="15" s="1"/>
  <c r="J535" i="15"/>
  <c r="M533" i="15"/>
  <c r="Q533" i="15" s="1"/>
  <c r="S533" i="15" s="1"/>
  <c r="J462" i="20"/>
  <c r="J464" i="20" s="1"/>
  <c r="J465" i="20" s="1"/>
  <c r="M460" i="20"/>
  <c r="Q460" i="20" s="1"/>
  <c r="S460" i="20" s="1"/>
  <c r="U460" i="20" s="1"/>
  <c r="J1079" i="20"/>
  <c r="J1081" i="20" s="1"/>
  <c r="J1082" i="20" s="1"/>
  <c r="M1077" i="20"/>
  <c r="Q1077" i="20" s="1"/>
  <c r="S1077" i="20" s="1"/>
  <c r="U1077" i="20" s="1"/>
  <c r="J960" i="24" l="1"/>
  <c r="J959" i="24"/>
  <c r="M959" i="24" s="1"/>
  <c r="Q959" i="24" s="1"/>
  <c r="S959" i="24" s="1"/>
  <c r="U959" i="24" s="1"/>
  <c r="M957" i="24"/>
  <c r="Q957" i="24" s="1"/>
  <c r="S957" i="24" s="1"/>
  <c r="U957" i="24" s="1"/>
  <c r="J462" i="24"/>
  <c r="J464" i="24" s="1"/>
  <c r="J465" i="24" s="1"/>
  <c r="M460" i="24"/>
  <c r="Q460" i="24" s="1"/>
  <c r="S460" i="24" s="1"/>
  <c r="U460" i="24" s="1"/>
  <c r="D16" i="24"/>
  <c r="C15" i="24"/>
  <c r="J1079" i="24"/>
  <c r="J1081" i="24" s="1"/>
  <c r="J1082" i="24" s="1"/>
  <c r="M1077" i="24"/>
  <c r="Q1077" i="24" s="1"/>
  <c r="S1077" i="24" s="1"/>
  <c r="U1077" i="24" s="1"/>
  <c r="M538" i="24"/>
  <c r="Q538" i="24" s="1"/>
  <c r="S538" i="24" s="1"/>
  <c r="U538" i="24" s="1"/>
  <c r="J539" i="24"/>
  <c r="J342" i="24"/>
  <c r="M342" i="24" s="1"/>
  <c r="Q342" i="24" s="1"/>
  <c r="S342" i="24" s="1"/>
  <c r="U342" i="24" s="1"/>
  <c r="M340" i="24"/>
  <c r="Q340" i="24" s="1"/>
  <c r="S340" i="24" s="1"/>
  <c r="U340" i="24" s="1"/>
  <c r="J343" i="24"/>
  <c r="M1162" i="24"/>
  <c r="Q1162" i="24" s="1"/>
  <c r="S1162" i="24" s="1"/>
  <c r="U1162" i="24" s="1"/>
  <c r="J1164" i="24"/>
  <c r="J342" i="15"/>
  <c r="M342" i="15" s="1"/>
  <c r="Q342" i="15" s="1"/>
  <c r="S342" i="15" s="1"/>
  <c r="J343" i="15"/>
  <c r="M340" i="15"/>
  <c r="Q340" i="15" s="1"/>
  <c r="S340" i="15" s="1"/>
  <c r="C15" i="20"/>
  <c r="D16" i="20"/>
  <c r="C15" i="15"/>
  <c r="D16" i="15"/>
  <c r="J1164" i="20"/>
  <c r="M1162" i="20"/>
  <c r="Q1162" i="20" s="1"/>
  <c r="S1162" i="20" s="1"/>
  <c r="U1162" i="20" s="1"/>
  <c r="J962" i="20"/>
  <c r="J963" i="20" s="1"/>
  <c r="M960" i="20"/>
  <c r="Q960" i="20" s="1"/>
  <c r="S960" i="20" s="1"/>
  <c r="U960" i="20" s="1"/>
  <c r="J1080" i="15"/>
  <c r="J1082" i="15" s="1"/>
  <c r="J1083" i="15" s="1"/>
  <c r="M1078" i="15"/>
  <c r="Q1078" i="15" s="1"/>
  <c r="S1078" i="15" s="1"/>
  <c r="M1161" i="15"/>
  <c r="Q1161" i="15" s="1"/>
  <c r="S1161" i="15" s="1"/>
  <c r="J1163" i="15"/>
  <c r="M537" i="20"/>
  <c r="Q537" i="20" s="1"/>
  <c r="S537" i="20" s="1"/>
  <c r="U537" i="20" s="1"/>
  <c r="J538" i="20"/>
  <c r="J537" i="15"/>
  <c r="M535" i="15"/>
  <c r="Q535" i="15" s="1"/>
  <c r="S535" i="15" s="1"/>
  <c r="J462" i="15"/>
  <c r="J464" i="15" s="1"/>
  <c r="J465" i="15" s="1"/>
  <c r="M460" i="15"/>
  <c r="Q460" i="15" s="1"/>
  <c r="S460" i="15" s="1"/>
  <c r="M964" i="15"/>
  <c r="Q964" i="15" s="1"/>
  <c r="S964" i="15" s="1"/>
  <c r="J965" i="15"/>
  <c r="J345" i="20"/>
  <c r="J346" i="20" s="1"/>
  <c r="M343" i="20"/>
  <c r="Q343" i="20" s="1"/>
  <c r="S343" i="20" s="1"/>
  <c r="U343" i="20" s="1"/>
  <c r="J1162" i="15"/>
  <c r="M1162" i="15" s="1"/>
  <c r="Q1162" i="15" s="1"/>
  <c r="S1162" i="15" s="1"/>
  <c r="M1160" i="15"/>
  <c r="Q1160" i="15" s="1"/>
  <c r="S1160" i="15" s="1"/>
  <c r="M539" i="24" l="1"/>
  <c r="Q539" i="24" s="1"/>
  <c r="S539" i="24" s="1"/>
  <c r="U539" i="24" s="1"/>
  <c r="J540" i="24"/>
  <c r="M1164" i="24"/>
  <c r="Q1164" i="24" s="1"/>
  <c r="S1164" i="24" s="1"/>
  <c r="U1164" i="24" s="1"/>
  <c r="J1165" i="24"/>
  <c r="J345" i="24"/>
  <c r="J346" i="24" s="1"/>
  <c r="M343" i="24"/>
  <c r="Q343" i="24" s="1"/>
  <c r="S343" i="24" s="1"/>
  <c r="U343" i="24" s="1"/>
  <c r="F218" i="24"/>
  <c r="C16" i="24"/>
  <c r="D17" i="24"/>
  <c r="J962" i="24"/>
  <c r="J963" i="24" s="1"/>
  <c r="M960" i="24"/>
  <c r="Q960" i="24" s="1"/>
  <c r="S960" i="24" s="1"/>
  <c r="U960" i="24" s="1"/>
  <c r="J347" i="20"/>
  <c r="M346" i="20"/>
  <c r="Q346" i="20" s="1"/>
  <c r="S346" i="20" s="1"/>
  <c r="U346" i="20" s="1"/>
  <c r="J1165" i="20"/>
  <c r="M1164" i="20"/>
  <c r="Q1164" i="20" s="1"/>
  <c r="S1164" i="20" s="1"/>
  <c r="U1164" i="20" s="1"/>
  <c r="M965" i="15"/>
  <c r="Q965" i="15" s="1"/>
  <c r="S965" i="15" s="1"/>
  <c r="J966" i="15"/>
  <c r="J1165" i="15"/>
  <c r="M1163" i="15"/>
  <c r="Q1163" i="15" s="1"/>
  <c r="S1163" i="15" s="1"/>
  <c r="F218" i="15"/>
  <c r="C16" i="15"/>
  <c r="D17" i="15"/>
  <c r="M537" i="15"/>
  <c r="Q537" i="15" s="1"/>
  <c r="S537" i="15" s="1"/>
  <c r="J538" i="15"/>
  <c r="J964" i="20"/>
  <c r="M963" i="20"/>
  <c r="Q963" i="20" s="1"/>
  <c r="S963" i="20" s="1"/>
  <c r="U963" i="20" s="1"/>
  <c r="J345" i="15"/>
  <c r="J346" i="15" s="1"/>
  <c r="M343" i="15"/>
  <c r="Q343" i="15" s="1"/>
  <c r="S343" i="15" s="1"/>
  <c r="M538" i="20"/>
  <c r="Q538" i="20" s="1"/>
  <c r="S538" i="20" s="1"/>
  <c r="U538" i="20" s="1"/>
  <c r="J539" i="20"/>
  <c r="D17" i="20"/>
  <c r="F218" i="20"/>
  <c r="C16" i="20"/>
  <c r="J964" i="24" l="1"/>
  <c r="M963" i="24"/>
  <c r="Q963" i="24" s="1"/>
  <c r="S963" i="24" s="1"/>
  <c r="U963" i="24" s="1"/>
  <c r="J542" i="24"/>
  <c r="J543" i="24" s="1"/>
  <c r="M540" i="24"/>
  <c r="Q540" i="24" s="1"/>
  <c r="S540" i="24" s="1"/>
  <c r="U540" i="24" s="1"/>
  <c r="M1165" i="24"/>
  <c r="Q1165" i="24" s="1"/>
  <c r="S1165" i="24" s="1"/>
  <c r="U1165" i="24" s="1"/>
  <c r="J1166" i="24"/>
  <c r="F225" i="24"/>
  <c r="D18" i="24"/>
  <c r="C17" i="24"/>
  <c r="J347" i="24"/>
  <c r="M346" i="24"/>
  <c r="Q346" i="24" s="1"/>
  <c r="S346" i="24" s="1"/>
  <c r="U346" i="24" s="1"/>
  <c r="M346" i="15"/>
  <c r="Q346" i="15" s="1"/>
  <c r="S346" i="15" s="1"/>
  <c r="J347" i="15"/>
  <c r="M539" i="20"/>
  <c r="Q539" i="20" s="1"/>
  <c r="S539" i="20" s="1"/>
  <c r="U539" i="20" s="1"/>
  <c r="J540" i="20"/>
  <c r="F225" i="15"/>
  <c r="C17" i="15"/>
  <c r="D18" i="15"/>
  <c r="M1165" i="15"/>
  <c r="Q1165" i="15" s="1"/>
  <c r="S1165" i="15" s="1"/>
  <c r="J1166" i="15"/>
  <c r="J1166" i="20"/>
  <c r="M1165" i="20"/>
  <c r="Q1165" i="20" s="1"/>
  <c r="S1165" i="20" s="1"/>
  <c r="U1165" i="20" s="1"/>
  <c r="M964" i="20"/>
  <c r="Q964" i="20" s="1"/>
  <c r="S964" i="20" s="1"/>
  <c r="U964" i="20" s="1"/>
  <c r="J965" i="20"/>
  <c r="J967" i="15"/>
  <c r="M966" i="15"/>
  <c r="Q966" i="15" s="1"/>
  <c r="S966" i="15" s="1"/>
  <c r="F225" i="20"/>
  <c r="C17" i="20"/>
  <c r="D18" i="20"/>
  <c r="J539" i="15"/>
  <c r="M538" i="15"/>
  <c r="Q538" i="15" s="1"/>
  <c r="S538" i="15" s="1"/>
  <c r="J348" i="20"/>
  <c r="M347" i="20"/>
  <c r="Q347" i="20" s="1"/>
  <c r="S347" i="20" s="1"/>
  <c r="U347" i="20" s="1"/>
  <c r="F232" i="24" l="1"/>
  <c r="C18" i="24"/>
  <c r="D19" i="24"/>
  <c r="J544" i="24"/>
  <c r="M543" i="24"/>
  <c r="Q543" i="24" s="1"/>
  <c r="S543" i="24" s="1"/>
  <c r="U543" i="24" s="1"/>
  <c r="M347" i="24"/>
  <c r="Q347" i="24" s="1"/>
  <c r="S347" i="24" s="1"/>
  <c r="U347" i="24" s="1"/>
  <c r="J348" i="24"/>
  <c r="J1167" i="24"/>
  <c r="M1166" i="24"/>
  <c r="Q1166" i="24" s="1"/>
  <c r="S1166" i="24" s="1"/>
  <c r="U1166" i="24" s="1"/>
  <c r="M964" i="24"/>
  <c r="Q964" i="24" s="1"/>
  <c r="S964" i="24" s="1"/>
  <c r="U964" i="24" s="1"/>
  <c r="J965" i="24"/>
  <c r="J542" i="20"/>
  <c r="J543" i="20" s="1"/>
  <c r="M540" i="20"/>
  <c r="Q540" i="20" s="1"/>
  <c r="S540" i="20" s="1"/>
  <c r="U540" i="20" s="1"/>
  <c r="F232" i="15"/>
  <c r="C18" i="15"/>
  <c r="D19" i="15"/>
  <c r="J540" i="15"/>
  <c r="M539" i="15"/>
  <c r="Q539" i="15" s="1"/>
  <c r="S539" i="15" s="1"/>
  <c r="F232" i="20"/>
  <c r="D19" i="20"/>
  <c r="C18" i="20"/>
  <c r="J969" i="15"/>
  <c r="J970" i="15" s="1"/>
  <c r="M967" i="15"/>
  <c r="Q967" i="15" s="1"/>
  <c r="S967" i="15" s="1"/>
  <c r="J1167" i="20"/>
  <c r="M1166" i="20"/>
  <c r="Q1166" i="20" s="1"/>
  <c r="S1166" i="20" s="1"/>
  <c r="U1166" i="20" s="1"/>
  <c r="J348" i="15"/>
  <c r="M347" i="15"/>
  <c r="Q347" i="15" s="1"/>
  <c r="S347" i="15" s="1"/>
  <c r="J349" i="20"/>
  <c r="M348" i="20"/>
  <c r="Q348" i="20" s="1"/>
  <c r="S348" i="20" s="1"/>
  <c r="U348" i="20" s="1"/>
  <c r="M965" i="20"/>
  <c r="Q965" i="20" s="1"/>
  <c r="S965" i="20" s="1"/>
  <c r="U965" i="20" s="1"/>
  <c r="J966" i="20"/>
  <c r="M1166" i="15"/>
  <c r="Q1166" i="15" s="1"/>
  <c r="S1166" i="15" s="1"/>
  <c r="J1167" i="15"/>
  <c r="M1167" i="24" l="1"/>
  <c r="Q1167" i="24" s="1"/>
  <c r="S1167" i="24" s="1"/>
  <c r="U1167" i="24" s="1"/>
  <c r="J1169" i="24"/>
  <c r="J1170" i="24" s="1"/>
  <c r="J545" i="24"/>
  <c r="M544" i="24"/>
  <c r="Q544" i="24" s="1"/>
  <c r="S544" i="24" s="1"/>
  <c r="U544" i="24" s="1"/>
  <c r="M965" i="24"/>
  <c r="Q965" i="24" s="1"/>
  <c r="S965" i="24" s="1"/>
  <c r="U965" i="24" s="1"/>
  <c r="J966" i="24"/>
  <c r="M348" i="24"/>
  <c r="Q348" i="24" s="1"/>
  <c r="S348" i="24" s="1"/>
  <c r="U348" i="24" s="1"/>
  <c r="J349" i="24"/>
  <c r="F63" i="24"/>
  <c r="D20" i="24"/>
  <c r="C19" i="24"/>
  <c r="J1168" i="15"/>
  <c r="M1167" i="15"/>
  <c r="Q1167" i="15" s="1"/>
  <c r="S1167" i="15" s="1"/>
  <c r="M966" i="20"/>
  <c r="Q966" i="20" s="1"/>
  <c r="S966" i="20" s="1"/>
  <c r="U966" i="20" s="1"/>
  <c r="J968" i="20"/>
  <c r="J969" i="20" s="1"/>
  <c r="J349" i="15"/>
  <c r="M348" i="15"/>
  <c r="Q348" i="15" s="1"/>
  <c r="S348" i="15" s="1"/>
  <c r="M970" i="15"/>
  <c r="Q970" i="15" s="1"/>
  <c r="S970" i="15" s="1"/>
  <c r="J971" i="15"/>
  <c r="J542" i="15"/>
  <c r="J543" i="15" s="1"/>
  <c r="M540" i="15"/>
  <c r="Q540" i="15" s="1"/>
  <c r="S540" i="15" s="1"/>
  <c r="J351" i="20"/>
  <c r="J352" i="20" s="1"/>
  <c r="M349" i="20"/>
  <c r="Q349" i="20" s="1"/>
  <c r="S349" i="20" s="1"/>
  <c r="U349" i="20" s="1"/>
  <c r="J1169" i="20"/>
  <c r="J1170" i="20" s="1"/>
  <c r="M1167" i="20"/>
  <c r="Q1167" i="20" s="1"/>
  <c r="S1167" i="20" s="1"/>
  <c r="U1167" i="20" s="1"/>
  <c r="C19" i="20"/>
  <c r="D20" i="20"/>
  <c r="F63" i="20"/>
  <c r="F63" i="15"/>
  <c r="C19" i="15"/>
  <c r="D20" i="15"/>
  <c r="J544" i="20"/>
  <c r="M543" i="20"/>
  <c r="Q543" i="20" s="1"/>
  <c r="S543" i="20" s="1"/>
  <c r="U543" i="20" s="1"/>
  <c r="M349" i="24" l="1"/>
  <c r="Q349" i="24" s="1"/>
  <c r="S349" i="24" s="1"/>
  <c r="U349" i="24" s="1"/>
  <c r="J351" i="24"/>
  <c r="J352" i="24" s="1"/>
  <c r="J546" i="24"/>
  <c r="M545" i="24"/>
  <c r="Q545" i="24" s="1"/>
  <c r="S545" i="24" s="1"/>
  <c r="U545" i="24" s="1"/>
  <c r="C20" i="24"/>
  <c r="D21" i="24"/>
  <c r="M966" i="24"/>
  <c r="Q966" i="24" s="1"/>
  <c r="S966" i="24" s="1"/>
  <c r="U966" i="24" s="1"/>
  <c r="J968" i="24"/>
  <c r="J969" i="24" s="1"/>
  <c r="M1170" i="24"/>
  <c r="Q1170" i="24" s="1"/>
  <c r="S1170" i="24" s="1"/>
  <c r="U1170" i="24" s="1"/>
  <c r="J1171" i="24"/>
  <c r="C20" i="15"/>
  <c r="D21" i="15"/>
  <c r="D21" i="20"/>
  <c r="C20" i="20"/>
  <c r="J973" i="15"/>
  <c r="M973" i="15" s="1"/>
  <c r="Q973" i="15" s="1"/>
  <c r="S973" i="15" s="1"/>
  <c r="J974" i="15"/>
  <c r="M971" i="15"/>
  <c r="Q971" i="15" s="1"/>
  <c r="S971" i="15" s="1"/>
  <c r="M969" i="20"/>
  <c r="Q969" i="20" s="1"/>
  <c r="S969" i="20" s="1"/>
  <c r="U969" i="20" s="1"/>
  <c r="J970" i="20"/>
  <c r="J353" i="20"/>
  <c r="M352" i="20"/>
  <c r="Q352" i="20" s="1"/>
  <c r="S352" i="20" s="1"/>
  <c r="U352" i="20" s="1"/>
  <c r="J545" i="20"/>
  <c r="M544" i="20"/>
  <c r="Q544" i="20" s="1"/>
  <c r="S544" i="20" s="1"/>
  <c r="U544" i="20" s="1"/>
  <c r="M1170" i="20"/>
  <c r="Q1170" i="20" s="1"/>
  <c r="S1170" i="20" s="1"/>
  <c r="U1170" i="20" s="1"/>
  <c r="J1171" i="20"/>
  <c r="J544" i="15"/>
  <c r="M543" i="15"/>
  <c r="Q543" i="15" s="1"/>
  <c r="S543" i="15" s="1"/>
  <c r="M349" i="15"/>
  <c r="Q349" i="15" s="1"/>
  <c r="S349" i="15" s="1"/>
  <c r="J351" i="15"/>
  <c r="J352" i="15" s="1"/>
  <c r="J1170" i="15"/>
  <c r="J1171" i="15" s="1"/>
  <c r="M1168" i="15"/>
  <c r="Q1168" i="15" s="1"/>
  <c r="S1168" i="15" s="1"/>
  <c r="M969" i="24" l="1"/>
  <c r="Q969" i="24" s="1"/>
  <c r="S969" i="24" s="1"/>
  <c r="U969" i="24" s="1"/>
  <c r="J970" i="24"/>
  <c r="J548" i="24"/>
  <c r="J550" i="24" s="1"/>
  <c r="J551" i="24" s="1"/>
  <c r="M546" i="24"/>
  <c r="Q546" i="24" s="1"/>
  <c r="S546" i="24" s="1"/>
  <c r="U546" i="24" s="1"/>
  <c r="M1171" i="24"/>
  <c r="Q1171" i="24" s="1"/>
  <c r="S1171" i="24" s="1"/>
  <c r="U1171" i="24" s="1"/>
  <c r="J1172" i="24"/>
  <c r="D22" i="24"/>
  <c r="F213" i="24"/>
  <c r="C21" i="24"/>
  <c r="M352" i="24"/>
  <c r="Q352" i="24" s="1"/>
  <c r="S352" i="24" s="1"/>
  <c r="U352" i="24" s="1"/>
  <c r="J353" i="24"/>
  <c r="J1172" i="15"/>
  <c r="M1171" i="15"/>
  <c r="Q1171" i="15" s="1"/>
  <c r="S1171" i="15" s="1"/>
  <c r="M544" i="15"/>
  <c r="Q544" i="15" s="1"/>
  <c r="S544" i="15" s="1"/>
  <c r="J545" i="15"/>
  <c r="J546" i="20"/>
  <c r="M545" i="20"/>
  <c r="Q545" i="20" s="1"/>
  <c r="S545" i="20" s="1"/>
  <c r="U545" i="20" s="1"/>
  <c r="M352" i="15"/>
  <c r="Q352" i="15" s="1"/>
  <c r="S352" i="15" s="1"/>
  <c r="J353" i="15"/>
  <c r="M1171" i="20"/>
  <c r="Q1171" i="20" s="1"/>
  <c r="S1171" i="20" s="1"/>
  <c r="U1171" i="20" s="1"/>
  <c r="J1172" i="20"/>
  <c r="F213" i="20"/>
  <c r="C21" i="20"/>
  <c r="D22" i="20"/>
  <c r="J356" i="20"/>
  <c r="J355" i="20"/>
  <c r="M355" i="20" s="1"/>
  <c r="Q355" i="20" s="1"/>
  <c r="S355" i="20" s="1"/>
  <c r="U355" i="20" s="1"/>
  <c r="M353" i="20"/>
  <c r="Q353" i="20" s="1"/>
  <c r="S353" i="20" s="1"/>
  <c r="U353" i="20" s="1"/>
  <c r="J976" i="15"/>
  <c r="J977" i="15" s="1"/>
  <c r="M974" i="15"/>
  <c r="Q974" i="15" s="1"/>
  <c r="S974" i="15" s="1"/>
  <c r="F213" i="15"/>
  <c r="C21" i="15"/>
  <c r="D22" i="15"/>
  <c r="M970" i="20"/>
  <c r="Q970" i="20" s="1"/>
  <c r="S970" i="20" s="1"/>
  <c r="U970" i="20" s="1"/>
  <c r="J973" i="20"/>
  <c r="J972" i="20"/>
  <c r="M972" i="20" s="1"/>
  <c r="Q972" i="20" s="1"/>
  <c r="S972" i="20" s="1"/>
  <c r="U972" i="20" s="1"/>
  <c r="M353" i="24" l="1"/>
  <c r="Q353" i="24" s="1"/>
  <c r="S353" i="24" s="1"/>
  <c r="U353" i="24" s="1"/>
  <c r="J356" i="24"/>
  <c r="J355" i="24"/>
  <c r="M355" i="24" s="1"/>
  <c r="Q355" i="24" s="1"/>
  <c r="S355" i="24" s="1"/>
  <c r="U355" i="24" s="1"/>
  <c r="C22" i="24"/>
  <c r="F208" i="24"/>
  <c r="D23" i="24"/>
  <c r="M1172" i="24"/>
  <c r="Q1172" i="24" s="1"/>
  <c r="S1172" i="24" s="1"/>
  <c r="U1172" i="24" s="1"/>
  <c r="J1173" i="24"/>
  <c r="M970" i="24"/>
  <c r="Q970" i="24" s="1"/>
  <c r="S970" i="24" s="1"/>
  <c r="U970" i="24" s="1"/>
  <c r="J972" i="24"/>
  <c r="M972" i="24" s="1"/>
  <c r="Q972" i="24" s="1"/>
  <c r="S972" i="24" s="1"/>
  <c r="U972" i="24" s="1"/>
  <c r="J973" i="24"/>
  <c r="J355" i="15"/>
  <c r="M355" i="15" s="1"/>
  <c r="Q355" i="15" s="1"/>
  <c r="S355" i="15" s="1"/>
  <c r="J356" i="15"/>
  <c r="M353" i="15"/>
  <c r="Q353" i="15" s="1"/>
  <c r="S353" i="15" s="1"/>
  <c r="M545" i="15"/>
  <c r="Q545" i="15" s="1"/>
  <c r="S545" i="15" s="1"/>
  <c r="J546" i="15"/>
  <c r="J975" i="20"/>
  <c r="J976" i="20" s="1"/>
  <c r="M973" i="20"/>
  <c r="Q973" i="20" s="1"/>
  <c r="S973" i="20" s="1"/>
  <c r="U973" i="20" s="1"/>
  <c r="J358" i="20"/>
  <c r="J359" i="20" s="1"/>
  <c r="M356" i="20"/>
  <c r="Q356" i="20" s="1"/>
  <c r="S356" i="20" s="1"/>
  <c r="U356" i="20" s="1"/>
  <c r="M1172" i="20"/>
  <c r="Q1172" i="20" s="1"/>
  <c r="S1172" i="20" s="1"/>
  <c r="U1172" i="20" s="1"/>
  <c r="J1173" i="20"/>
  <c r="F208" i="15"/>
  <c r="C22" i="15"/>
  <c r="D23" i="15"/>
  <c r="J978" i="15"/>
  <c r="M977" i="15"/>
  <c r="Q977" i="15" s="1"/>
  <c r="S977" i="15" s="1"/>
  <c r="D23" i="20"/>
  <c r="F208" i="20"/>
  <c r="C22" i="20"/>
  <c r="J548" i="20"/>
  <c r="J550" i="20" s="1"/>
  <c r="J551" i="20" s="1"/>
  <c r="M546" i="20"/>
  <c r="Q546" i="20" s="1"/>
  <c r="S546" i="20" s="1"/>
  <c r="U546" i="20" s="1"/>
  <c r="J1173" i="15"/>
  <c r="M1172" i="15"/>
  <c r="Q1172" i="15" s="1"/>
  <c r="S1172" i="15" s="1"/>
  <c r="M1173" i="24" l="1"/>
  <c r="Q1173" i="24" s="1"/>
  <c r="S1173" i="24" s="1"/>
  <c r="U1173" i="24" s="1"/>
  <c r="J1175" i="24"/>
  <c r="J1177" i="24" s="1"/>
  <c r="J1178" i="24" s="1"/>
  <c r="J975" i="24"/>
  <c r="J976" i="24" s="1"/>
  <c r="M973" i="24"/>
  <c r="Q973" i="24" s="1"/>
  <c r="S973" i="24" s="1"/>
  <c r="U973" i="24" s="1"/>
  <c r="D24" i="24"/>
  <c r="C23" i="24"/>
  <c r="J358" i="24"/>
  <c r="J359" i="24" s="1"/>
  <c r="M356" i="24"/>
  <c r="Q356" i="24" s="1"/>
  <c r="S356" i="24" s="1"/>
  <c r="U356" i="24" s="1"/>
  <c r="M359" i="20"/>
  <c r="Q359" i="20" s="1"/>
  <c r="S359" i="20" s="1"/>
  <c r="U359" i="20" s="1"/>
  <c r="J360" i="20"/>
  <c r="M1173" i="20"/>
  <c r="Q1173" i="20" s="1"/>
  <c r="S1173" i="20" s="1"/>
  <c r="U1173" i="20" s="1"/>
  <c r="J1175" i="20"/>
  <c r="J1177" i="20" s="1"/>
  <c r="J1178" i="20" s="1"/>
  <c r="J979" i="15"/>
  <c r="M978" i="15"/>
  <c r="Q978" i="15" s="1"/>
  <c r="S978" i="15" s="1"/>
  <c r="M1173" i="15"/>
  <c r="Q1173" i="15" s="1"/>
  <c r="S1173" i="15" s="1"/>
  <c r="J1174" i="15"/>
  <c r="C23" i="15"/>
  <c r="D24" i="15"/>
  <c r="J977" i="20"/>
  <c r="M976" i="20"/>
  <c r="Q976" i="20" s="1"/>
  <c r="S976" i="20" s="1"/>
  <c r="U976" i="20" s="1"/>
  <c r="J358" i="15"/>
  <c r="J359" i="15" s="1"/>
  <c r="M356" i="15"/>
  <c r="Q356" i="15" s="1"/>
  <c r="S356" i="15" s="1"/>
  <c r="C23" i="20"/>
  <c r="D24" i="20"/>
  <c r="J548" i="15"/>
  <c r="J550" i="15" s="1"/>
  <c r="J551" i="15" s="1"/>
  <c r="M546" i="15"/>
  <c r="Q546" i="15" s="1"/>
  <c r="S546" i="15" s="1"/>
  <c r="J360" i="24" l="1"/>
  <c r="M359" i="24"/>
  <c r="Q359" i="24" s="1"/>
  <c r="S359" i="24" s="1"/>
  <c r="U359" i="24" s="1"/>
  <c r="J977" i="24"/>
  <c r="M976" i="24"/>
  <c r="Q976" i="24" s="1"/>
  <c r="S976" i="24" s="1"/>
  <c r="U976" i="24" s="1"/>
  <c r="C24" i="24"/>
  <c r="D25" i="24"/>
  <c r="D25" i="20"/>
  <c r="C24" i="20"/>
  <c r="J1176" i="15"/>
  <c r="J1178" i="15" s="1"/>
  <c r="J1179" i="15" s="1"/>
  <c r="M1174" i="15"/>
  <c r="Q1174" i="15" s="1"/>
  <c r="S1174" i="15" s="1"/>
  <c r="J978" i="20"/>
  <c r="M977" i="20"/>
  <c r="Q977" i="20" s="1"/>
  <c r="S977" i="20" s="1"/>
  <c r="U977" i="20" s="1"/>
  <c r="C24" i="15"/>
  <c r="D25" i="15"/>
  <c r="M360" i="20"/>
  <c r="Q360" i="20" s="1"/>
  <c r="S360" i="20" s="1"/>
  <c r="U360" i="20" s="1"/>
  <c r="J361" i="20"/>
  <c r="J360" i="15"/>
  <c r="M359" i="15"/>
  <c r="Q359" i="15" s="1"/>
  <c r="S359" i="15" s="1"/>
  <c r="M979" i="15"/>
  <c r="Q979" i="15" s="1"/>
  <c r="S979" i="15" s="1"/>
  <c r="J980" i="15"/>
  <c r="J978" i="24" l="1"/>
  <c r="M977" i="24"/>
  <c r="Q977" i="24" s="1"/>
  <c r="S977" i="24" s="1"/>
  <c r="U977" i="24" s="1"/>
  <c r="D26" i="24"/>
  <c r="C25" i="24"/>
  <c r="J361" i="24"/>
  <c r="M360" i="24"/>
  <c r="Q360" i="24" s="1"/>
  <c r="S360" i="24" s="1"/>
  <c r="U360" i="24" s="1"/>
  <c r="C25" i="15"/>
  <c r="D26" i="15"/>
  <c r="M360" i="15"/>
  <c r="Q360" i="15" s="1"/>
  <c r="S360" i="15" s="1"/>
  <c r="J361" i="15"/>
  <c r="J982" i="15"/>
  <c r="M980" i="15"/>
  <c r="Q980" i="15" s="1"/>
  <c r="S980" i="15" s="1"/>
  <c r="M361" i="20"/>
  <c r="Q361" i="20" s="1"/>
  <c r="S361" i="20" s="1"/>
  <c r="U361" i="20" s="1"/>
  <c r="J362" i="20"/>
  <c r="J979" i="20"/>
  <c r="M978" i="20"/>
  <c r="Q978" i="20" s="1"/>
  <c r="S978" i="20" s="1"/>
  <c r="U978" i="20" s="1"/>
  <c r="C25" i="20"/>
  <c r="D26" i="20"/>
  <c r="C26" i="24" l="1"/>
  <c r="D27" i="24"/>
  <c r="J362" i="24"/>
  <c r="M361" i="24"/>
  <c r="Q361" i="24" s="1"/>
  <c r="S361" i="24" s="1"/>
  <c r="U361" i="24" s="1"/>
  <c r="J979" i="24"/>
  <c r="M978" i="24"/>
  <c r="Q978" i="24" s="1"/>
  <c r="S978" i="24" s="1"/>
  <c r="U978" i="24" s="1"/>
  <c r="D27" i="20"/>
  <c r="C26" i="20"/>
  <c r="J364" i="20"/>
  <c r="M362" i="20"/>
  <c r="Q362" i="20" s="1"/>
  <c r="S362" i="20" s="1"/>
  <c r="U362" i="20" s="1"/>
  <c r="M361" i="15"/>
  <c r="Q361" i="15" s="1"/>
  <c r="S361" i="15" s="1"/>
  <c r="J362" i="15"/>
  <c r="C26" i="15"/>
  <c r="D27" i="15"/>
  <c r="J981" i="20"/>
  <c r="M979" i="20"/>
  <c r="Q979" i="20" s="1"/>
  <c r="S979" i="20" s="1"/>
  <c r="U979" i="20" s="1"/>
  <c r="J983" i="15"/>
  <c r="M982" i="15"/>
  <c r="Q982" i="15" s="1"/>
  <c r="S982" i="15" s="1"/>
  <c r="J364" i="24" l="1"/>
  <c r="M362" i="24"/>
  <c r="Q362" i="24" s="1"/>
  <c r="S362" i="24" s="1"/>
  <c r="U362" i="24" s="1"/>
  <c r="F28" i="24"/>
  <c r="D28" i="24"/>
  <c r="J981" i="24"/>
  <c r="M979" i="24"/>
  <c r="Q979" i="24" s="1"/>
  <c r="S979" i="24" s="1"/>
  <c r="U979" i="24" s="1"/>
  <c r="D28" i="15"/>
  <c r="F28" i="15"/>
  <c r="J985" i="15"/>
  <c r="J986" i="15" s="1"/>
  <c r="M983" i="15"/>
  <c r="Q983" i="15" s="1"/>
  <c r="S983" i="15" s="1"/>
  <c r="M364" i="20"/>
  <c r="Q364" i="20" s="1"/>
  <c r="S364" i="20" s="1"/>
  <c r="U364" i="20" s="1"/>
  <c r="J365" i="20"/>
  <c r="J364" i="15"/>
  <c r="M362" i="15"/>
  <c r="Q362" i="15" s="1"/>
  <c r="S362" i="15" s="1"/>
  <c r="M981" i="20"/>
  <c r="Q981" i="20" s="1"/>
  <c r="S981" i="20" s="1"/>
  <c r="U981" i="20" s="1"/>
  <c r="J982" i="20"/>
  <c r="D28" i="20"/>
  <c r="F28" i="20"/>
  <c r="M981" i="24" l="1"/>
  <c r="Q981" i="24" s="1"/>
  <c r="S981" i="24" s="1"/>
  <c r="U981" i="24" s="1"/>
  <c r="J982" i="24"/>
  <c r="F29" i="24"/>
  <c r="D29" i="24"/>
  <c r="M364" i="24"/>
  <c r="Q364" i="24" s="1"/>
  <c r="S364" i="24" s="1"/>
  <c r="U364" i="24" s="1"/>
  <c r="J365" i="24"/>
  <c r="M364" i="15"/>
  <c r="Q364" i="15" s="1"/>
  <c r="S364" i="15" s="1"/>
  <c r="J365" i="15"/>
  <c r="J987" i="15"/>
  <c r="M986" i="15"/>
  <c r="Q986" i="15" s="1"/>
  <c r="S986" i="15" s="1"/>
  <c r="F29" i="20"/>
  <c r="D29" i="20"/>
  <c r="J984" i="20"/>
  <c r="J985" i="20" s="1"/>
  <c r="M982" i="20"/>
  <c r="Q982" i="20" s="1"/>
  <c r="S982" i="20" s="1"/>
  <c r="U982" i="20" s="1"/>
  <c r="J367" i="20"/>
  <c r="J368" i="20" s="1"/>
  <c r="M365" i="20"/>
  <c r="Q365" i="20" s="1"/>
  <c r="S365" i="20" s="1"/>
  <c r="U365" i="20" s="1"/>
  <c r="F29" i="15"/>
  <c r="D29" i="15"/>
  <c r="F30" i="24" l="1"/>
  <c r="D30" i="24"/>
  <c r="J367" i="24"/>
  <c r="J368" i="24" s="1"/>
  <c r="M365" i="24"/>
  <c r="Q365" i="24" s="1"/>
  <c r="S365" i="24" s="1"/>
  <c r="U365" i="24" s="1"/>
  <c r="J984" i="24"/>
  <c r="J985" i="24" s="1"/>
  <c r="M982" i="24"/>
  <c r="Q982" i="24" s="1"/>
  <c r="S982" i="24" s="1"/>
  <c r="U982" i="24" s="1"/>
  <c r="F30" i="15"/>
  <c r="D30" i="15"/>
  <c r="M985" i="20"/>
  <c r="Q985" i="20" s="1"/>
  <c r="S985" i="20" s="1"/>
  <c r="U985" i="20" s="1"/>
  <c r="J986" i="20"/>
  <c r="J988" i="15"/>
  <c r="M987" i="15"/>
  <c r="Q987" i="15" s="1"/>
  <c r="S987" i="15" s="1"/>
  <c r="F30" i="20"/>
  <c r="D30" i="20"/>
  <c r="J367" i="15"/>
  <c r="J368" i="15" s="1"/>
  <c r="M365" i="15"/>
  <c r="Q365" i="15" s="1"/>
  <c r="S365" i="15" s="1"/>
  <c r="M368" i="20"/>
  <c r="Q368" i="20" s="1"/>
  <c r="S368" i="20" s="1"/>
  <c r="U368" i="20" s="1"/>
  <c r="J369" i="20"/>
  <c r="J369" i="24" l="1"/>
  <c r="M368" i="24"/>
  <c r="Q368" i="24" s="1"/>
  <c r="S368" i="24" s="1"/>
  <c r="U368" i="24" s="1"/>
  <c r="F31" i="24"/>
  <c r="D31" i="24"/>
  <c r="M985" i="24"/>
  <c r="Q985" i="24" s="1"/>
  <c r="S985" i="24" s="1"/>
  <c r="U985" i="24" s="1"/>
  <c r="J986" i="24"/>
  <c r="M369" i="20"/>
  <c r="Q369" i="20" s="1"/>
  <c r="S369" i="20" s="1"/>
  <c r="U369" i="20" s="1"/>
  <c r="J370" i="20"/>
  <c r="F31" i="20"/>
  <c r="D31" i="20"/>
  <c r="M986" i="20"/>
  <c r="Q986" i="20" s="1"/>
  <c r="S986" i="20" s="1"/>
  <c r="U986" i="20" s="1"/>
  <c r="J987" i="20"/>
  <c r="D31" i="15"/>
  <c r="F31" i="15"/>
  <c r="J369" i="15"/>
  <c r="M368" i="15"/>
  <c r="Q368" i="15" s="1"/>
  <c r="S368" i="15" s="1"/>
  <c r="M988" i="15"/>
  <c r="Q988" i="15" s="1"/>
  <c r="S988" i="15" s="1"/>
  <c r="J989" i="15"/>
  <c r="M986" i="24" l="1"/>
  <c r="Q986" i="24" s="1"/>
  <c r="S986" i="24" s="1"/>
  <c r="U986" i="24" s="1"/>
  <c r="J987" i="24"/>
  <c r="F32" i="24"/>
  <c r="D32" i="24"/>
  <c r="J370" i="24"/>
  <c r="M369" i="24"/>
  <c r="Q369" i="24" s="1"/>
  <c r="S369" i="24" s="1"/>
  <c r="U369" i="24" s="1"/>
  <c r="J991" i="15"/>
  <c r="J992" i="15" s="1"/>
  <c r="J993" i="15" s="1"/>
  <c r="M989" i="15"/>
  <c r="Q989" i="15" s="1"/>
  <c r="S989" i="15" s="1"/>
  <c r="F32" i="20"/>
  <c r="D32" i="20"/>
  <c r="D32" i="15"/>
  <c r="F32" i="15"/>
  <c r="M369" i="15"/>
  <c r="Q369" i="15" s="1"/>
  <c r="S369" i="15" s="1"/>
  <c r="J370" i="15"/>
  <c r="M987" i="20"/>
  <c r="Q987" i="20" s="1"/>
  <c r="S987" i="20" s="1"/>
  <c r="U987" i="20" s="1"/>
  <c r="J988" i="20"/>
  <c r="M370" i="20"/>
  <c r="Q370" i="20" s="1"/>
  <c r="S370" i="20" s="1"/>
  <c r="U370" i="20" s="1"/>
  <c r="J371" i="20"/>
  <c r="F33" i="24" l="1"/>
  <c r="D33" i="24"/>
  <c r="M987" i="24"/>
  <c r="Q987" i="24" s="1"/>
  <c r="S987" i="24" s="1"/>
  <c r="U987" i="24" s="1"/>
  <c r="J988" i="24"/>
  <c r="J371" i="24"/>
  <c r="M370" i="24"/>
  <c r="Q370" i="24" s="1"/>
  <c r="S370" i="24" s="1"/>
  <c r="U370" i="24" s="1"/>
  <c r="J373" i="20"/>
  <c r="J374" i="20" s="1"/>
  <c r="J375" i="20" s="1"/>
  <c r="M371" i="20"/>
  <c r="Q371" i="20" s="1"/>
  <c r="S371" i="20" s="1"/>
  <c r="U371" i="20" s="1"/>
  <c r="M370" i="15"/>
  <c r="Q370" i="15" s="1"/>
  <c r="S370" i="15" s="1"/>
  <c r="J371" i="15"/>
  <c r="F33" i="20"/>
  <c r="D33" i="20"/>
  <c r="J990" i="20"/>
  <c r="J991" i="20" s="1"/>
  <c r="J992" i="20" s="1"/>
  <c r="M988" i="20"/>
  <c r="Q988" i="20" s="1"/>
  <c r="S988" i="20" s="1"/>
  <c r="U988" i="20" s="1"/>
  <c r="F33" i="15"/>
  <c r="D33" i="15"/>
  <c r="J990" i="24" l="1"/>
  <c r="J991" i="24" s="1"/>
  <c r="J992" i="24" s="1"/>
  <c r="M988" i="24"/>
  <c r="Q988" i="24" s="1"/>
  <c r="S988" i="24" s="1"/>
  <c r="U988" i="24" s="1"/>
  <c r="F34" i="24"/>
  <c r="D34" i="24"/>
  <c r="J373" i="24"/>
  <c r="J374" i="24" s="1"/>
  <c r="J375" i="24" s="1"/>
  <c r="M371" i="24"/>
  <c r="Q371" i="24" s="1"/>
  <c r="S371" i="24" s="1"/>
  <c r="U371" i="24" s="1"/>
  <c r="J373" i="15"/>
  <c r="J374" i="15" s="1"/>
  <c r="J375" i="15" s="1"/>
  <c r="M371" i="15"/>
  <c r="Q371" i="15" s="1"/>
  <c r="S371" i="15" s="1"/>
  <c r="F34" i="15"/>
  <c r="D34" i="15"/>
  <c r="F34" i="20"/>
  <c r="D34" i="20"/>
  <c r="F35" i="24" l="1"/>
  <c r="D35" i="24"/>
  <c r="F35" i="15"/>
  <c r="D35" i="15"/>
  <c r="F35" i="20"/>
  <c r="D35" i="20"/>
  <c r="F36" i="24" l="1"/>
  <c r="D36" i="24"/>
  <c r="F36" i="20"/>
  <c r="D36" i="20"/>
  <c r="D36" i="15"/>
  <c r="F36" i="15"/>
  <c r="F37" i="24" l="1"/>
  <c r="D37" i="24"/>
  <c r="F37" i="15"/>
  <c r="D37" i="15"/>
  <c r="F37" i="20"/>
  <c r="D37" i="20"/>
  <c r="F38" i="24" l="1"/>
  <c r="D38" i="24"/>
  <c r="F38" i="20"/>
  <c r="D38" i="20"/>
  <c r="F38" i="15"/>
  <c r="D38" i="15"/>
  <c r="F39" i="24" l="1"/>
  <c r="D39" i="24"/>
  <c r="F39" i="15"/>
  <c r="D39" i="15"/>
  <c r="F39" i="20"/>
  <c r="D39" i="20"/>
  <c r="D40" i="24" l="1"/>
  <c r="F40" i="24"/>
  <c r="F40" i="15"/>
  <c r="D40" i="15"/>
  <c r="F40" i="20"/>
  <c r="D40" i="20"/>
  <c r="D41" i="24" l="1"/>
  <c r="D42" i="24" s="1"/>
  <c r="F41" i="24"/>
  <c r="F41" i="20"/>
  <c r="D41" i="20"/>
  <c r="D42" i="20" s="1"/>
  <c r="D41" i="15"/>
  <c r="D42" i="15" s="1"/>
  <c r="F41" i="15"/>
  <c r="C42" i="24" l="1"/>
  <c r="D43" i="24"/>
  <c r="C42" i="15"/>
  <c r="D43" i="15"/>
  <c r="C42" i="20"/>
  <c r="D43" i="20"/>
  <c r="F46" i="24" l="1"/>
  <c r="C43" i="24"/>
  <c r="D44" i="24"/>
  <c r="C43" i="20"/>
  <c r="D44" i="20"/>
  <c r="F46" i="20"/>
  <c r="D44" i="15"/>
  <c r="F46" i="15"/>
  <c r="C43" i="15"/>
  <c r="F45" i="24" l="1"/>
  <c r="D45" i="24"/>
  <c r="D46" i="24" s="1"/>
  <c r="F45" i="15"/>
  <c r="D45" i="15"/>
  <c r="D46" i="15" s="1"/>
  <c r="D45" i="20"/>
  <c r="D46" i="20" s="1"/>
  <c r="F45" i="20"/>
  <c r="D47" i="24" l="1"/>
  <c r="C46" i="24"/>
  <c r="C46" i="20"/>
  <c r="D47" i="20"/>
  <c r="F47" i="15"/>
  <c r="C46" i="15"/>
  <c r="D47" i="15"/>
  <c r="F48" i="24" l="1"/>
  <c r="D48" i="24"/>
  <c r="F48" i="20"/>
  <c r="D48" i="20"/>
  <c r="F48" i="15"/>
  <c r="D48" i="15"/>
  <c r="F57" i="15"/>
  <c r="D49" i="24" l="1"/>
  <c r="F49" i="24"/>
  <c r="F49" i="15"/>
  <c r="D49" i="15"/>
  <c r="F49" i="20"/>
  <c r="D49" i="20"/>
  <c r="F50" i="24" l="1"/>
  <c r="D50" i="24"/>
  <c r="D50" i="20"/>
  <c r="F50" i="20"/>
  <c r="F50" i="15"/>
  <c r="D50" i="15"/>
  <c r="D51" i="24" l="1"/>
  <c r="F51" i="24"/>
  <c r="D51" i="15"/>
  <c r="F51" i="15"/>
  <c r="F51" i="20"/>
  <c r="D51" i="20"/>
  <c r="F52" i="24" l="1"/>
  <c r="D52" i="24"/>
  <c r="D53" i="24" s="1"/>
  <c r="F52" i="20"/>
  <c r="D52" i="20"/>
  <c r="D53" i="20" s="1"/>
  <c r="D52" i="15"/>
  <c r="D53" i="15" s="1"/>
  <c r="F52" i="15"/>
  <c r="C53" i="24" l="1"/>
  <c r="D54" i="24"/>
  <c r="D54" i="20"/>
  <c r="C53" i="20"/>
  <c r="F54" i="15"/>
  <c r="C53" i="15"/>
  <c r="D54" i="15"/>
  <c r="F55" i="24" l="1"/>
  <c r="D55" i="24"/>
  <c r="D56" i="24" s="1"/>
  <c r="F55" i="15"/>
  <c r="D55" i="15"/>
  <c r="D56" i="15" s="1"/>
  <c r="D55" i="20"/>
  <c r="D56" i="20" s="1"/>
  <c r="F55" i="20"/>
  <c r="C56" i="24" l="1"/>
  <c r="D57" i="24"/>
  <c r="D57" i="20"/>
  <c r="C56" i="20"/>
  <c r="D57" i="15"/>
  <c r="C56" i="15"/>
  <c r="F58" i="24" l="1"/>
  <c r="D58" i="24"/>
  <c r="D58" i="20"/>
  <c r="F58" i="20"/>
  <c r="F58" i="15"/>
  <c r="D58" i="15"/>
  <c r="F59" i="24" l="1"/>
  <c r="D59" i="24"/>
  <c r="F59" i="15"/>
  <c r="D59" i="15"/>
  <c r="F59" i="20"/>
  <c r="D59" i="20"/>
  <c r="F60" i="24" l="1"/>
  <c r="D60" i="24"/>
  <c r="D60" i="15"/>
  <c r="F60" i="15"/>
  <c r="F60" i="20"/>
  <c r="D60" i="20"/>
  <c r="F61" i="24" l="1"/>
  <c r="D61" i="24"/>
  <c r="F61" i="15"/>
  <c r="D61" i="15"/>
  <c r="F61" i="20"/>
  <c r="D61" i="20"/>
  <c r="D62" i="24" l="1"/>
  <c r="D63" i="24" s="1"/>
  <c r="F62" i="24"/>
  <c r="F62" i="20"/>
  <c r="D62" i="20"/>
  <c r="D63" i="20" s="1"/>
  <c r="F62" i="15"/>
  <c r="D62" i="15"/>
  <c r="D63" i="15" s="1"/>
  <c r="D64" i="24" l="1"/>
  <c r="C63" i="24"/>
  <c r="D64" i="15"/>
  <c r="C63" i="15"/>
  <c r="D64" i="20"/>
  <c r="C63" i="20"/>
  <c r="F68" i="24" l="1"/>
  <c r="D65" i="24"/>
  <c r="C64" i="24"/>
  <c r="C64" i="20"/>
  <c r="F68" i="20"/>
  <c r="D65" i="20"/>
  <c r="D65" i="15"/>
  <c r="F68" i="15"/>
  <c r="F65" i="15"/>
  <c r="C64" i="15"/>
  <c r="F66" i="24" l="1"/>
  <c r="D66" i="24"/>
  <c r="F66" i="15"/>
  <c r="D66" i="15"/>
  <c r="F66" i="20"/>
  <c r="D66" i="20"/>
  <c r="F67" i="24" l="1"/>
  <c r="D67" i="24"/>
  <c r="D68" i="24" s="1"/>
  <c r="F67" i="20"/>
  <c r="D67" i="20"/>
  <c r="D68" i="20" s="1"/>
  <c r="F67" i="15"/>
  <c r="D67" i="15"/>
  <c r="D68" i="15" s="1"/>
  <c r="F72" i="24" l="1"/>
  <c r="C68" i="24"/>
  <c r="D69" i="24"/>
  <c r="F69" i="15"/>
  <c r="C68" i="15"/>
  <c r="D69" i="15"/>
  <c r="F72" i="15"/>
  <c r="C68" i="20"/>
  <c r="D69" i="20"/>
  <c r="F72" i="20"/>
  <c r="F70" i="24" l="1"/>
  <c r="D70" i="24"/>
  <c r="F70" i="15"/>
  <c r="D70" i="15"/>
  <c r="D70" i="20"/>
  <c r="F70" i="20"/>
  <c r="D71" i="24" l="1"/>
  <c r="D72" i="24" s="1"/>
  <c r="F71" i="24"/>
  <c r="F71" i="20"/>
  <c r="D71" i="20"/>
  <c r="D72" i="20" s="1"/>
  <c r="F71" i="15"/>
  <c r="D71" i="15"/>
  <c r="D72" i="15" s="1"/>
  <c r="D73" i="24" l="1"/>
  <c r="F76" i="24"/>
  <c r="C72" i="24"/>
  <c r="F73" i="15"/>
  <c r="C72" i="15"/>
  <c r="D73" i="15"/>
  <c r="F76" i="15"/>
  <c r="F76" i="20"/>
  <c r="C72" i="20"/>
  <c r="D73" i="20"/>
  <c r="F74" i="24" l="1"/>
  <c r="D74" i="24"/>
  <c r="D74" i="20"/>
  <c r="F74" i="20"/>
  <c r="D74" i="15"/>
  <c r="F74" i="15"/>
  <c r="F75" i="24" l="1"/>
  <c r="D75" i="24"/>
  <c r="D76" i="24" s="1"/>
  <c r="F75" i="20"/>
  <c r="D75" i="20"/>
  <c r="D76" i="20" s="1"/>
  <c r="F75" i="15"/>
  <c r="D75" i="15"/>
  <c r="D76" i="15" s="1"/>
  <c r="F80" i="24" l="1"/>
  <c r="C76" i="24"/>
  <c r="D77" i="24"/>
  <c r="F77" i="15"/>
  <c r="C76" i="15"/>
  <c r="F80" i="15"/>
  <c r="D77" i="15"/>
  <c r="D77" i="20"/>
  <c r="F80" i="20"/>
  <c r="C76" i="20"/>
  <c r="F78" i="24" l="1"/>
  <c r="D78" i="24"/>
  <c r="F78" i="15"/>
  <c r="D78" i="15"/>
  <c r="F78" i="20"/>
  <c r="D78" i="20"/>
  <c r="D79" i="24" l="1"/>
  <c r="D80" i="24" s="1"/>
  <c r="F79" i="24"/>
  <c r="F79" i="20"/>
  <c r="D79" i="20"/>
  <c r="D80" i="20" s="1"/>
  <c r="D79" i="15"/>
  <c r="D80" i="15" s="1"/>
  <c r="F79" i="15"/>
  <c r="F84" i="24" l="1"/>
  <c r="C80" i="24"/>
  <c r="D81" i="24"/>
  <c r="F84" i="15"/>
  <c r="F81" i="15"/>
  <c r="C80" i="15"/>
  <c r="D81" i="15"/>
  <c r="F84" i="20"/>
  <c r="C80" i="20"/>
  <c r="D81" i="20"/>
  <c r="F82" i="24" l="1"/>
  <c r="D82" i="24"/>
  <c r="F82" i="15"/>
  <c r="D82" i="15"/>
  <c r="F82" i="20"/>
  <c r="D82" i="20"/>
  <c r="F83" i="24" l="1"/>
  <c r="D83" i="24"/>
  <c r="D84" i="24" s="1"/>
  <c r="F83" i="20"/>
  <c r="D83" i="20"/>
  <c r="D84" i="20" s="1"/>
  <c r="F83" i="15"/>
  <c r="D83" i="15"/>
  <c r="D84" i="15" s="1"/>
  <c r="C84" i="24" l="1"/>
  <c r="F88" i="24"/>
  <c r="D85" i="24"/>
  <c r="F85" i="15"/>
  <c r="C84" i="15"/>
  <c r="F88" i="15"/>
  <c r="D85" i="15"/>
  <c r="F88" i="20"/>
  <c r="C84" i="20"/>
  <c r="D85" i="20"/>
  <c r="D86" i="24" l="1"/>
  <c r="F86" i="24"/>
  <c r="F86" i="15"/>
  <c r="D86" i="15"/>
  <c r="F86" i="20"/>
  <c r="D86" i="20"/>
  <c r="D87" i="24" l="1"/>
  <c r="D88" i="24" s="1"/>
  <c r="F87" i="24"/>
  <c r="D87" i="20"/>
  <c r="D88" i="20" s="1"/>
  <c r="F87" i="20"/>
  <c r="F87" i="15"/>
  <c r="D87" i="15"/>
  <c r="D88" i="15" s="1"/>
  <c r="D89" i="24" l="1"/>
  <c r="F92" i="24"/>
  <c r="C88" i="24"/>
  <c r="F89" i="15"/>
  <c r="C88" i="15"/>
  <c r="F92" i="15"/>
  <c r="D89" i="15"/>
  <c r="D89" i="20"/>
  <c r="F92" i="20"/>
  <c r="C88" i="20"/>
  <c r="F90" i="24" l="1"/>
  <c r="D90" i="24"/>
  <c r="F90" i="15"/>
  <c r="D90" i="15"/>
  <c r="F90" i="20"/>
  <c r="D90" i="20"/>
  <c r="F91" i="24" l="1"/>
  <c r="D91" i="24"/>
  <c r="D92" i="24" s="1"/>
  <c r="F91" i="20"/>
  <c r="D91" i="20"/>
  <c r="D92" i="20" s="1"/>
  <c r="D91" i="15"/>
  <c r="D92" i="15" s="1"/>
  <c r="F91" i="15"/>
  <c r="C92" i="24" l="1"/>
  <c r="F96" i="24"/>
  <c r="D93" i="24"/>
  <c r="F93" i="15"/>
  <c r="C92" i="15"/>
  <c r="F96" i="15"/>
  <c r="D93" i="15"/>
  <c r="C92" i="20"/>
  <c r="F96" i="20"/>
  <c r="D93" i="20"/>
  <c r="F94" i="24" l="1"/>
  <c r="D94" i="24"/>
  <c r="D94" i="15"/>
  <c r="F94" i="15"/>
  <c r="F94" i="20"/>
  <c r="D94" i="20"/>
  <c r="D95" i="24" l="1"/>
  <c r="D96" i="24" s="1"/>
  <c r="F95" i="24"/>
  <c r="D95" i="20"/>
  <c r="D96" i="20" s="1"/>
  <c r="F95" i="20"/>
  <c r="F95" i="15"/>
  <c r="D95" i="15"/>
  <c r="D96" i="15" s="1"/>
  <c r="D97" i="24" l="1"/>
  <c r="F100" i="24"/>
  <c r="C96" i="24"/>
  <c r="D97" i="20"/>
  <c r="F100" i="20"/>
  <c r="C96" i="20"/>
  <c r="D97" i="15"/>
  <c r="F100" i="15"/>
  <c r="F97" i="15"/>
  <c r="C96" i="15"/>
  <c r="D98" i="24" l="1"/>
  <c r="F98" i="24"/>
  <c r="F98" i="15"/>
  <c r="D98" i="15"/>
  <c r="F98" i="20"/>
  <c r="D98" i="20"/>
  <c r="F99" i="24" l="1"/>
  <c r="D99" i="24"/>
  <c r="D100" i="24" s="1"/>
  <c r="F99" i="20"/>
  <c r="D99" i="20"/>
  <c r="D100" i="20" s="1"/>
  <c r="F99" i="15"/>
  <c r="D99" i="15"/>
  <c r="D100" i="15" s="1"/>
  <c r="C100" i="24" l="1"/>
  <c r="D101" i="24"/>
  <c r="F104" i="24"/>
  <c r="F101" i="15"/>
  <c r="C100" i="15"/>
  <c r="D101" i="15"/>
  <c r="F104" i="15"/>
  <c r="C100" i="20"/>
  <c r="D101" i="20"/>
  <c r="F104" i="20"/>
  <c r="D102" i="24" l="1"/>
  <c r="F102" i="24"/>
  <c r="F102" i="15"/>
  <c r="D102" i="15"/>
  <c r="D102" i="20"/>
  <c r="F102" i="20"/>
  <c r="D103" i="24" l="1"/>
  <c r="D104" i="24" s="1"/>
  <c r="F103" i="24"/>
  <c r="F103" i="20"/>
  <c r="D103" i="20"/>
  <c r="D104" i="20" s="1"/>
  <c r="F103" i="15"/>
  <c r="D103" i="15"/>
  <c r="D104" i="15" s="1"/>
  <c r="D105" i="24" l="1"/>
  <c r="F108" i="24"/>
  <c r="C104" i="24"/>
  <c r="F105" i="15"/>
  <c r="C104" i="15"/>
  <c r="D105" i="15"/>
  <c r="F108" i="15"/>
  <c r="F108" i="20"/>
  <c r="C104" i="20"/>
  <c r="D105" i="20"/>
  <c r="D106" i="24" l="1"/>
  <c r="F106" i="24"/>
  <c r="D106" i="15"/>
  <c r="F106" i="15"/>
  <c r="D106" i="20"/>
  <c r="F106" i="20"/>
  <c r="F107" i="24" l="1"/>
  <c r="D107" i="24"/>
  <c r="D108" i="24" s="1"/>
  <c r="F107" i="20"/>
  <c r="D107" i="20"/>
  <c r="D108" i="20" s="1"/>
  <c r="F107" i="15"/>
  <c r="D107" i="15"/>
  <c r="D108" i="15" s="1"/>
  <c r="D109" i="24" l="1"/>
  <c r="F112" i="24"/>
  <c r="C108" i="24"/>
  <c r="F109" i="15"/>
  <c r="C108" i="15"/>
  <c r="F112" i="15"/>
  <c r="D109" i="15"/>
  <c r="D109" i="20"/>
  <c r="F112" i="20"/>
  <c r="C108" i="20"/>
  <c r="F110" i="24" l="1"/>
  <c r="D110" i="24"/>
  <c r="F110" i="15"/>
  <c r="D110" i="15"/>
  <c r="F110" i="20"/>
  <c r="D110" i="20"/>
  <c r="F111" i="24" l="1"/>
  <c r="D111" i="24"/>
  <c r="D112" i="24" s="1"/>
  <c r="F111" i="20"/>
  <c r="D111" i="20"/>
  <c r="D112" i="20" s="1"/>
  <c r="D111" i="15"/>
  <c r="D112" i="15" s="1"/>
  <c r="F111" i="15"/>
  <c r="F116" i="24" l="1"/>
  <c r="C112" i="24"/>
  <c r="D113" i="24"/>
  <c r="F116" i="15"/>
  <c r="F113" i="15"/>
  <c r="C112" i="15"/>
  <c r="D113" i="15"/>
  <c r="F116" i="20"/>
  <c r="C112" i="20"/>
  <c r="D113" i="20"/>
  <c r="F114" i="24" l="1"/>
  <c r="D114" i="24"/>
  <c r="F114" i="20"/>
  <c r="D114" i="20"/>
  <c r="F114" i="15"/>
  <c r="D114" i="15"/>
  <c r="F115" i="24" l="1"/>
  <c r="D115" i="24"/>
  <c r="D116" i="24" s="1"/>
  <c r="F115" i="20"/>
  <c r="D115" i="20"/>
  <c r="D116" i="20" s="1"/>
  <c r="F115" i="15"/>
  <c r="D115" i="15"/>
  <c r="D116" i="15" s="1"/>
  <c r="C116" i="24" l="1"/>
  <c r="D117" i="24"/>
  <c r="F120" i="24"/>
  <c r="F120" i="15"/>
  <c r="F117" i="15"/>
  <c r="C116" i="15"/>
  <c r="D117" i="15"/>
  <c r="F120" i="20"/>
  <c r="C116" i="20"/>
  <c r="D117" i="20"/>
  <c r="D118" i="24" l="1"/>
  <c r="F118" i="24"/>
  <c r="F118" i="15"/>
  <c r="D118" i="15"/>
  <c r="F118" i="20"/>
  <c r="D118" i="20"/>
  <c r="D119" i="24" l="1"/>
  <c r="D120" i="24" s="1"/>
  <c r="F119" i="24"/>
  <c r="D119" i="20"/>
  <c r="D120" i="20" s="1"/>
  <c r="F119" i="20"/>
  <c r="F119" i="15"/>
  <c r="D119" i="15"/>
  <c r="D120" i="15" s="1"/>
  <c r="D121" i="24" l="1"/>
  <c r="F124" i="24"/>
  <c r="C120" i="24"/>
  <c r="D121" i="20"/>
  <c r="F124" i="20"/>
  <c r="C120" i="20"/>
  <c r="F124" i="15"/>
  <c r="D121" i="15"/>
  <c r="C120" i="15"/>
  <c r="F121" i="15"/>
  <c r="F122" i="24" l="1"/>
  <c r="D122" i="24"/>
  <c r="F122" i="15"/>
  <c r="D122" i="15"/>
  <c r="F122" i="20"/>
  <c r="D122" i="20"/>
  <c r="F123" i="24" l="1"/>
  <c r="D123" i="24"/>
  <c r="D124" i="24" s="1"/>
  <c r="F123" i="20"/>
  <c r="D123" i="20"/>
  <c r="D124" i="20" s="1"/>
  <c r="D123" i="15"/>
  <c r="D124" i="15" s="1"/>
  <c r="F123" i="15"/>
  <c r="C124" i="24" l="1"/>
  <c r="D125" i="24"/>
  <c r="F125" i="15"/>
  <c r="C124" i="15"/>
  <c r="D125" i="15"/>
  <c r="F128" i="15"/>
  <c r="C124" i="20"/>
  <c r="D125" i="20"/>
  <c r="F126" i="24" l="1"/>
  <c r="D126" i="24"/>
  <c r="F126" i="15"/>
  <c r="D126" i="15"/>
  <c r="F126" i="20"/>
  <c r="D126" i="20"/>
  <c r="D127" i="24" l="1"/>
  <c r="D128" i="24" s="1"/>
  <c r="F127" i="24"/>
  <c r="D127" i="20"/>
  <c r="D128" i="20" s="1"/>
  <c r="F127" i="20"/>
  <c r="F127" i="15"/>
  <c r="D127" i="15"/>
  <c r="D128" i="15" s="1"/>
  <c r="D129" i="24" l="1"/>
  <c r="C128" i="24"/>
  <c r="F129" i="24"/>
  <c r="F129" i="15"/>
  <c r="D129" i="15"/>
  <c r="C128" i="15"/>
  <c r="D129" i="20"/>
  <c r="F129" i="20"/>
  <c r="C128" i="20"/>
  <c r="D130" i="24" l="1"/>
  <c r="F134" i="24"/>
  <c r="C129" i="24"/>
  <c r="F134" i="20"/>
  <c r="C129" i="20"/>
  <c r="D130" i="20"/>
  <c r="F134" i="15"/>
  <c r="F130" i="15"/>
  <c r="C129" i="15"/>
  <c r="D130" i="15"/>
  <c r="D131" i="24" l="1"/>
  <c r="F131" i="24"/>
  <c r="F131" i="15"/>
  <c r="D131" i="15"/>
  <c r="F131" i="20"/>
  <c r="D131" i="20"/>
  <c r="D132" i="24" l="1"/>
  <c r="F132" i="24"/>
  <c r="D132" i="20"/>
  <c r="F132" i="20"/>
  <c r="F132" i="15"/>
  <c r="D132" i="15"/>
  <c r="F133" i="24" l="1"/>
  <c r="D133" i="24"/>
  <c r="D134" i="24" s="1"/>
  <c r="F133" i="20"/>
  <c r="D133" i="20"/>
  <c r="D134" i="20" s="1"/>
  <c r="F133" i="15"/>
  <c r="D133" i="15"/>
  <c r="D134" i="15" s="1"/>
  <c r="F139" i="24" l="1"/>
  <c r="D135" i="24"/>
  <c r="C134" i="24"/>
  <c r="F139" i="15"/>
  <c r="F135" i="15"/>
  <c r="C134" i="15"/>
  <c r="D135" i="15"/>
  <c r="F139" i="20"/>
  <c r="D135" i="20"/>
  <c r="C134" i="20"/>
  <c r="D136" i="24" l="1"/>
  <c r="F136" i="24"/>
  <c r="F136" i="15"/>
  <c r="D136" i="15"/>
  <c r="D136" i="20"/>
  <c r="F136" i="20"/>
  <c r="F137" i="24" l="1"/>
  <c r="D137" i="24"/>
  <c r="F137" i="20"/>
  <c r="D137" i="20"/>
  <c r="F137" i="15"/>
  <c r="D137" i="15"/>
  <c r="F138" i="24" l="1"/>
  <c r="D138" i="24"/>
  <c r="D139" i="24" s="1"/>
  <c r="D138" i="15"/>
  <c r="D139" i="15" s="1"/>
  <c r="F138" i="15"/>
  <c r="F138" i="20"/>
  <c r="D138" i="20"/>
  <c r="D139" i="20" s="1"/>
  <c r="F144" i="24" l="1"/>
  <c r="C139" i="24"/>
  <c r="D140" i="24"/>
  <c r="F140" i="15"/>
  <c r="C139" i="15"/>
  <c r="F144" i="15"/>
  <c r="D140" i="15"/>
  <c r="F144" i="20"/>
  <c r="C139" i="20"/>
  <c r="D140" i="20"/>
  <c r="F141" i="24" l="1"/>
  <c r="D141" i="24"/>
  <c r="F141" i="15"/>
  <c r="D141" i="15"/>
  <c r="F141" i="20"/>
  <c r="D141" i="20"/>
  <c r="F142" i="24" l="1"/>
  <c r="D142" i="24"/>
  <c r="F142" i="20"/>
  <c r="D142" i="20"/>
  <c r="F142" i="15"/>
  <c r="D142" i="15"/>
  <c r="D143" i="24" l="1"/>
  <c r="D144" i="24" s="1"/>
  <c r="F143" i="24"/>
  <c r="D143" i="20"/>
  <c r="D144" i="20" s="1"/>
  <c r="F143" i="20"/>
  <c r="F143" i="15"/>
  <c r="D143" i="15"/>
  <c r="D144" i="15" s="1"/>
  <c r="F159" i="24" l="1"/>
  <c r="C144" i="24"/>
  <c r="D145" i="24"/>
  <c r="F159" i="15"/>
  <c r="F145" i="15"/>
  <c r="C144" i="15"/>
  <c r="D145" i="15"/>
  <c r="F159" i="20"/>
  <c r="C144" i="20"/>
  <c r="D145" i="20"/>
  <c r="F146" i="24" l="1"/>
  <c r="D146" i="24"/>
  <c r="F146" i="15"/>
  <c r="D146" i="15"/>
  <c r="F146" i="20"/>
  <c r="D146" i="20"/>
  <c r="D147" i="24" l="1"/>
  <c r="F147" i="24"/>
  <c r="F147" i="20"/>
  <c r="D147" i="20"/>
  <c r="F147" i="15"/>
  <c r="D147" i="15"/>
  <c r="D148" i="24" l="1"/>
  <c r="F148" i="24"/>
  <c r="F148" i="15"/>
  <c r="D148" i="15"/>
  <c r="D148" i="20"/>
  <c r="F148" i="20"/>
  <c r="D149" i="24" l="1"/>
  <c r="F149" i="24"/>
  <c r="F149" i="20"/>
  <c r="D149" i="20"/>
  <c r="D149" i="15"/>
  <c r="F149" i="15"/>
  <c r="D150" i="24" l="1"/>
  <c r="F150" i="24"/>
  <c r="F150" i="15"/>
  <c r="D150" i="15"/>
  <c r="D150" i="20"/>
  <c r="F150" i="20"/>
  <c r="D151" i="24" l="1"/>
  <c r="F151" i="24"/>
  <c r="F151" i="20"/>
  <c r="D151" i="20"/>
  <c r="F151" i="15"/>
  <c r="D151" i="15"/>
  <c r="D152" i="24" l="1"/>
  <c r="F152" i="24"/>
  <c r="F152" i="15"/>
  <c r="D152" i="15"/>
  <c r="D152" i="20"/>
  <c r="F152" i="20"/>
  <c r="D153" i="24" l="1"/>
  <c r="F153" i="24"/>
  <c r="D153" i="15"/>
  <c r="F153" i="15"/>
  <c r="F153" i="20"/>
  <c r="D153" i="20"/>
  <c r="D154" i="24" l="1"/>
  <c r="F154" i="24"/>
  <c r="D154" i="20"/>
  <c r="F154" i="20"/>
  <c r="F154" i="15"/>
  <c r="D154" i="15"/>
  <c r="D155" i="24" l="1"/>
  <c r="F155" i="24"/>
  <c r="F155" i="20"/>
  <c r="D155" i="20"/>
  <c r="F155" i="15"/>
  <c r="D155" i="15"/>
  <c r="D156" i="24" l="1"/>
  <c r="F156" i="24"/>
  <c r="F156" i="15"/>
  <c r="D156" i="15"/>
  <c r="D156" i="20"/>
  <c r="F156" i="20"/>
  <c r="D157" i="24" l="1"/>
  <c r="F157" i="24"/>
  <c r="F157" i="20"/>
  <c r="D157" i="20"/>
  <c r="D157" i="15"/>
  <c r="F157" i="15"/>
  <c r="D158" i="24" l="1"/>
  <c r="D159" i="24" s="1"/>
  <c r="F158" i="24"/>
  <c r="F158" i="15"/>
  <c r="D158" i="15"/>
  <c r="D159" i="15" s="1"/>
  <c r="D158" i="20"/>
  <c r="D159" i="20" s="1"/>
  <c r="F158" i="20"/>
  <c r="C159" i="24" l="1"/>
  <c r="F164" i="24"/>
  <c r="D160" i="24"/>
  <c r="C159" i="20"/>
  <c r="F164" i="20"/>
  <c r="D160" i="20"/>
  <c r="F164" i="15"/>
  <c r="F160" i="15"/>
  <c r="C159" i="15"/>
  <c r="D160" i="15"/>
  <c r="F161" i="24" l="1"/>
  <c r="D161" i="24"/>
  <c r="F161" i="20"/>
  <c r="D161" i="20"/>
  <c r="F161" i="15"/>
  <c r="D161" i="15"/>
  <c r="F162" i="24" l="1"/>
  <c r="D162" i="24"/>
  <c r="F162" i="15"/>
  <c r="D162" i="15"/>
  <c r="F162" i="20"/>
  <c r="D162" i="20"/>
  <c r="F163" i="24" l="1"/>
  <c r="D163" i="24"/>
  <c r="D164" i="24" s="1"/>
  <c r="F163" i="20"/>
  <c r="D163" i="20"/>
  <c r="D164" i="20" s="1"/>
  <c r="F163" i="15"/>
  <c r="D163" i="15"/>
  <c r="D164" i="15" s="1"/>
  <c r="F169" i="24" l="1"/>
  <c r="D165" i="24"/>
  <c r="C164" i="24"/>
  <c r="F169" i="15"/>
  <c r="F165" i="15"/>
  <c r="C164" i="15"/>
  <c r="D165" i="15"/>
  <c r="C164" i="20"/>
  <c r="F169" i="20"/>
  <c r="D165" i="20"/>
  <c r="D166" i="24" l="1"/>
  <c r="F166" i="24"/>
  <c r="F166" i="15"/>
  <c r="D166" i="15"/>
  <c r="F166" i="20"/>
  <c r="D166" i="20"/>
  <c r="D167" i="24" l="1"/>
  <c r="F167" i="24"/>
  <c r="D167" i="20"/>
  <c r="F167" i="20"/>
  <c r="D167" i="15"/>
  <c r="F167" i="15"/>
  <c r="D168" i="24" l="1"/>
  <c r="D169" i="24" s="1"/>
  <c r="F168" i="24"/>
  <c r="F168" i="15"/>
  <c r="D168" i="15"/>
  <c r="D169" i="15" s="1"/>
  <c r="F168" i="20"/>
  <c r="D168" i="20"/>
  <c r="D169" i="20" s="1"/>
  <c r="F172" i="24" l="1"/>
  <c r="C169" i="24"/>
  <c r="D170" i="24"/>
  <c r="F170" i="15"/>
  <c r="C169" i="15"/>
  <c r="F172" i="15"/>
  <c r="D170" i="15"/>
  <c r="F172" i="20"/>
  <c r="C169" i="20"/>
  <c r="D170" i="20"/>
  <c r="D171" i="24" l="1"/>
  <c r="D172" i="24" s="1"/>
  <c r="F171" i="24"/>
  <c r="F171" i="15"/>
  <c r="D171" i="15"/>
  <c r="D172" i="15" s="1"/>
  <c r="D171" i="20"/>
  <c r="D172" i="20" s="1"/>
  <c r="F171" i="20"/>
  <c r="C172" i="24" l="1"/>
  <c r="D173" i="24"/>
  <c r="F173" i="15"/>
  <c r="C172" i="15"/>
  <c r="D173" i="15"/>
  <c r="C172" i="20"/>
  <c r="D173" i="20"/>
  <c r="D174" i="24" l="1"/>
  <c r="F174" i="24"/>
  <c r="F174" i="15"/>
  <c r="D174" i="15"/>
  <c r="F174" i="20"/>
  <c r="D174" i="20"/>
  <c r="D175" i="24" l="1"/>
  <c r="F175" i="24"/>
  <c r="D175" i="20"/>
  <c r="F175" i="20"/>
  <c r="D175" i="15"/>
  <c r="F175" i="15"/>
  <c r="D176" i="24" l="1"/>
  <c r="D177" i="24" s="1"/>
  <c r="F176" i="24"/>
  <c r="F176" i="15"/>
  <c r="D176" i="15"/>
  <c r="F176" i="20"/>
  <c r="D176" i="20"/>
  <c r="D177" i="20" s="1"/>
  <c r="F178" i="24" l="1"/>
  <c r="C177" i="24"/>
  <c r="D178" i="24"/>
  <c r="F604" i="24"/>
  <c r="F178" i="20"/>
  <c r="C177" i="20"/>
  <c r="D178" i="20"/>
  <c r="F604" i="20"/>
  <c r="F177" i="15"/>
  <c r="D177" i="15"/>
  <c r="C178" i="24" l="1"/>
  <c r="D179" i="24"/>
  <c r="C178" i="20"/>
  <c r="D179" i="20"/>
  <c r="F178" i="15"/>
  <c r="D178" i="15"/>
  <c r="C177" i="15"/>
  <c r="D180" i="24" l="1"/>
  <c r="F180" i="24"/>
  <c r="D179" i="15"/>
  <c r="F182" i="15"/>
  <c r="F179" i="15"/>
  <c r="C178" i="15"/>
  <c r="F180" i="20"/>
  <c r="D180" i="20"/>
  <c r="F181" i="24" l="1"/>
  <c r="D181" i="24"/>
  <c r="D182" i="24" s="1"/>
  <c r="F181" i="20"/>
  <c r="D181" i="20"/>
  <c r="D182" i="20" s="1"/>
  <c r="F180" i="15"/>
  <c r="D180" i="15"/>
  <c r="C182" i="24" l="1"/>
  <c r="F185" i="24"/>
  <c r="D183" i="24"/>
  <c r="F181" i="15"/>
  <c r="D181" i="15"/>
  <c r="D182" i="15" s="1"/>
  <c r="C182" i="20"/>
  <c r="F185" i="20"/>
  <c r="D183" i="20"/>
  <c r="F184" i="24" l="1"/>
  <c r="D184" i="24"/>
  <c r="D185" i="24" s="1"/>
  <c r="D183" i="15"/>
  <c r="F185" i="15"/>
  <c r="F183" i="15"/>
  <c r="C182" i="15"/>
  <c r="F184" i="20"/>
  <c r="D184" i="20"/>
  <c r="D185" i="20" s="1"/>
  <c r="F186" i="24" l="1"/>
  <c r="C185" i="24"/>
  <c r="F187" i="24"/>
  <c r="D186" i="24"/>
  <c r="D187" i="24" s="1"/>
  <c r="F184" i="15"/>
  <c r="D184" i="15"/>
  <c r="D185" i="15" s="1"/>
  <c r="F186" i="20"/>
  <c r="C185" i="20"/>
  <c r="D186" i="20"/>
  <c r="D187" i="20" s="1"/>
  <c r="F187" i="20"/>
  <c r="F190" i="24" l="1"/>
  <c r="C187" i="24"/>
  <c r="D188" i="24"/>
  <c r="D186" i="15"/>
  <c r="D187" i="15" s="1"/>
  <c r="F187" i="15"/>
  <c r="F186" i="15"/>
  <c r="C185" i="15"/>
  <c r="F190" i="20"/>
  <c r="C187" i="20"/>
  <c r="D188" i="20"/>
  <c r="F189" i="24" l="1"/>
  <c r="D189" i="24"/>
  <c r="D190" i="24" s="1"/>
  <c r="F189" i="20"/>
  <c r="D189" i="20"/>
  <c r="D190" i="20" s="1"/>
  <c r="F188" i="15"/>
  <c r="C187" i="15"/>
  <c r="F190" i="15"/>
  <c r="D188" i="15"/>
  <c r="F196" i="24" l="1"/>
  <c r="C190" i="24"/>
  <c r="D191" i="24"/>
  <c r="F189" i="15"/>
  <c r="D189" i="15"/>
  <c r="D190" i="15" s="1"/>
  <c r="F196" i="20"/>
  <c r="C190" i="20"/>
  <c r="D191" i="20"/>
  <c r="D192" i="24" l="1"/>
  <c r="F192" i="24"/>
  <c r="F192" i="20"/>
  <c r="D192" i="20"/>
  <c r="D191" i="15"/>
  <c r="F196" i="15"/>
  <c r="F191" i="15"/>
  <c r="C190" i="15"/>
  <c r="F193" i="24" l="1"/>
  <c r="D193" i="24"/>
  <c r="F192" i="15"/>
  <c r="D192" i="15"/>
  <c r="F193" i="20"/>
  <c r="D193" i="20"/>
  <c r="D194" i="24" l="1"/>
  <c r="F194" i="24"/>
  <c r="D194" i="20"/>
  <c r="F194" i="20"/>
  <c r="F193" i="15"/>
  <c r="D193" i="15"/>
  <c r="F195" i="24" l="1"/>
  <c r="D195" i="24"/>
  <c r="D196" i="24" s="1"/>
  <c r="F194" i="15"/>
  <c r="D194" i="15"/>
  <c r="F195" i="20"/>
  <c r="D195" i="20"/>
  <c r="D196" i="20" s="1"/>
  <c r="C196" i="24" l="1"/>
  <c r="D197" i="24"/>
  <c r="F200" i="24"/>
  <c r="C196" i="20"/>
  <c r="F200" i="20"/>
  <c r="D197" i="20"/>
  <c r="F195" i="15"/>
  <c r="D195" i="15"/>
  <c r="D196" i="15" s="1"/>
  <c r="F198" i="24" l="1"/>
  <c r="D198" i="24"/>
  <c r="D197" i="15"/>
  <c r="F200" i="15"/>
  <c r="F197" i="15"/>
  <c r="C196" i="15"/>
  <c r="F198" i="20"/>
  <c r="D198" i="20"/>
  <c r="D199" i="24" l="1"/>
  <c r="D200" i="24" s="1"/>
  <c r="F199" i="24"/>
  <c r="F199" i="20"/>
  <c r="D199" i="20"/>
  <c r="D200" i="20" s="1"/>
  <c r="D198" i="15"/>
  <c r="F198" i="15"/>
  <c r="D201" i="24" l="1"/>
  <c r="F203" i="24"/>
  <c r="C200" i="24"/>
  <c r="D199" i="15"/>
  <c r="D200" i="15" s="1"/>
  <c r="F199" i="15"/>
  <c r="F203" i="20"/>
  <c r="C200" i="20"/>
  <c r="D201" i="20"/>
  <c r="F202" i="24" l="1"/>
  <c r="D202" i="24"/>
  <c r="D203" i="24" s="1"/>
  <c r="F202" i="20"/>
  <c r="D202" i="20"/>
  <c r="D203" i="20" s="1"/>
  <c r="F201" i="15"/>
  <c r="C200" i="15"/>
  <c r="F203" i="15"/>
  <c r="D201" i="15"/>
  <c r="D204" i="24" l="1"/>
  <c r="D205" i="24" s="1"/>
  <c r="C203" i="24"/>
  <c r="F205" i="24"/>
  <c r="F204" i="24"/>
  <c r="D202" i="15"/>
  <c r="D203" i="15" s="1"/>
  <c r="F202" i="15"/>
  <c r="D204" i="20"/>
  <c r="D205" i="20" s="1"/>
  <c r="F205" i="20"/>
  <c r="F204" i="20"/>
  <c r="C203" i="20"/>
  <c r="D206" i="24" l="1"/>
  <c r="C205" i="24"/>
  <c r="D206" i="20"/>
  <c r="C205" i="20"/>
  <c r="D204" i="15"/>
  <c r="D205" i="15" s="1"/>
  <c r="F205" i="15"/>
  <c r="F204" i="15"/>
  <c r="C203" i="15"/>
  <c r="D207" i="24" l="1"/>
  <c r="D208" i="24" s="1"/>
  <c r="F207" i="24"/>
  <c r="F206" i="15"/>
  <c r="C205" i="15"/>
  <c r="D206" i="15"/>
  <c r="D207" i="20"/>
  <c r="D208" i="20" s="1"/>
  <c r="F207" i="20"/>
  <c r="D209" i="24" l="1"/>
  <c r="C208" i="24"/>
  <c r="F207" i="15"/>
  <c r="D207" i="15"/>
  <c r="D208" i="15" s="1"/>
  <c r="C208" i="20"/>
  <c r="D209" i="20"/>
  <c r="F210" i="24" l="1"/>
  <c r="D210" i="24"/>
  <c r="F210" i="20"/>
  <c r="D210" i="20"/>
  <c r="D209" i="15"/>
  <c r="F209" i="15"/>
  <c r="C208" i="15"/>
  <c r="F211" i="24" l="1"/>
  <c r="D211" i="24"/>
  <c r="F210" i="15"/>
  <c r="D210" i="15"/>
  <c r="F211" i="20"/>
  <c r="D211" i="20"/>
  <c r="F212" i="24" l="1"/>
  <c r="D212" i="24"/>
  <c r="D213" i="24" s="1"/>
  <c r="F212" i="20"/>
  <c r="D212" i="20"/>
  <c r="D213" i="20" s="1"/>
  <c r="F211" i="15"/>
  <c r="D211" i="15"/>
  <c r="D214" i="24" l="1"/>
  <c r="C213" i="24"/>
  <c r="F212" i="15"/>
  <c r="D212" i="15"/>
  <c r="D213" i="15" s="1"/>
  <c r="D214" i="20"/>
  <c r="C213" i="20"/>
  <c r="F215" i="24" l="1"/>
  <c r="D215" i="24"/>
  <c r="F215" i="20"/>
  <c r="D215" i="20"/>
  <c r="F214" i="15"/>
  <c r="C213" i="15"/>
  <c r="D214" i="15"/>
  <c r="F216" i="24" l="1"/>
  <c r="D216" i="24"/>
  <c r="F216" i="20"/>
  <c r="D216" i="20"/>
  <c r="D215" i="15"/>
  <c r="F215" i="15"/>
  <c r="F217" i="24" l="1"/>
  <c r="D217" i="24"/>
  <c r="D218" i="24" s="1"/>
  <c r="F216" i="15"/>
  <c r="D216" i="15"/>
  <c r="F217" i="20"/>
  <c r="D217" i="20"/>
  <c r="D218" i="20" s="1"/>
  <c r="C218" i="24" l="1"/>
  <c r="D219" i="24"/>
  <c r="C218" i="20"/>
  <c r="D219" i="20"/>
  <c r="F217" i="15"/>
  <c r="D217" i="15"/>
  <c r="D218" i="15" s="1"/>
  <c r="F220" i="24" l="1"/>
  <c r="D220" i="24"/>
  <c r="F220" i="20"/>
  <c r="D220" i="20"/>
  <c r="F219" i="15"/>
  <c r="C218" i="15"/>
  <c r="D219" i="15"/>
  <c r="F221" i="24" l="1"/>
  <c r="D221" i="24"/>
  <c r="F221" i="20"/>
  <c r="D221" i="20"/>
  <c r="F220" i="15"/>
  <c r="D220" i="15"/>
  <c r="D222" i="24" l="1"/>
  <c r="F222" i="24"/>
  <c r="D221" i="15"/>
  <c r="F221" i="15"/>
  <c r="D222" i="20"/>
  <c r="F222" i="20"/>
  <c r="D223" i="24" l="1"/>
  <c r="F223" i="24"/>
  <c r="F222" i="15"/>
  <c r="D222" i="15"/>
  <c r="F223" i="20"/>
  <c r="D223" i="20"/>
  <c r="D224" i="24" l="1"/>
  <c r="D225" i="24" s="1"/>
  <c r="F224" i="24"/>
  <c r="D224" i="20"/>
  <c r="D225" i="20" s="1"/>
  <c r="F224" i="20"/>
  <c r="F223" i="15"/>
  <c r="D223" i="15"/>
  <c r="C225" i="24" l="1"/>
  <c r="D226" i="24"/>
  <c r="D224" i="15"/>
  <c r="D225" i="15" s="1"/>
  <c r="F224" i="15"/>
  <c r="C225" i="20"/>
  <c r="D226" i="20"/>
  <c r="F227" i="24" l="1"/>
  <c r="D227" i="24"/>
  <c r="F227" i="20"/>
  <c r="D227" i="20"/>
  <c r="D226" i="15"/>
  <c r="F226" i="15"/>
  <c r="C225" i="15"/>
  <c r="D228" i="24" l="1"/>
  <c r="F228" i="24"/>
  <c r="F227" i="15"/>
  <c r="D227" i="15"/>
  <c r="F228" i="20"/>
  <c r="D228" i="20"/>
  <c r="F229" i="24" l="1"/>
  <c r="D229" i="24"/>
  <c r="F229" i="20"/>
  <c r="D229" i="20"/>
  <c r="F228" i="15"/>
  <c r="D228" i="15"/>
  <c r="F230" i="24" l="1"/>
  <c r="D230" i="24"/>
  <c r="F229" i="15"/>
  <c r="D229" i="15"/>
  <c r="F230" i="20"/>
  <c r="D230" i="20"/>
  <c r="F231" i="24" l="1"/>
  <c r="D231" i="24"/>
  <c r="D232" i="24" s="1"/>
  <c r="F231" i="20"/>
  <c r="D231" i="20"/>
  <c r="D232" i="20" s="1"/>
  <c r="F230" i="15"/>
  <c r="D230" i="15"/>
  <c r="D233" i="24" l="1"/>
  <c r="C232" i="24"/>
  <c r="F231" i="15"/>
  <c r="D231" i="15"/>
  <c r="D232" i="15" s="1"/>
  <c r="C232" i="20"/>
  <c r="D233" i="20"/>
  <c r="D234" i="24" l="1"/>
  <c r="F234" i="24"/>
  <c r="F234" i="20"/>
  <c r="D234" i="20"/>
  <c r="F233" i="15"/>
  <c r="C232" i="15"/>
  <c r="D233" i="15"/>
  <c r="F235" i="24" l="1"/>
  <c r="D235" i="24"/>
  <c r="F234" i="15"/>
  <c r="D234" i="15"/>
  <c r="F235" i="20"/>
  <c r="D235" i="20"/>
  <c r="F236" i="24" l="1"/>
  <c r="D236" i="24"/>
  <c r="D236" i="20"/>
  <c r="F236" i="20"/>
  <c r="D235" i="15"/>
  <c r="F235" i="15"/>
  <c r="F237" i="24" l="1"/>
  <c r="D237" i="24"/>
  <c r="D236" i="15"/>
  <c r="F236" i="15"/>
  <c r="F237" i="20"/>
  <c r="D237" i="20"/>
  <c r="D238" i="24" l="1"/>
  <c r="C237" i="24"/>
  <c r="D238" i="20"/>
  <c r="C237" i="20"/>
  <c r="F237" i="15"/>
  <c r="D237" i="15"/>
  <c r="F241" i="24" l="1"/>
  <c r="C238" i="24"/>
  <c r="D239" i="24"/>
  <c r="D238" i="15"/>
  <c r="C237" i="15"/>
  <c r="F241" i="20"/>
  <c r="C238" i="20"/>
  <c r="D239" i="20"/>
  <c r="F240" i="24" l="1"/>
  <c r="D240" i="24"/>
  <c r="D241" i="24" s="1"/>
  <c r="F239" i="15"/>
  <c r="C238" i="15"/>
  <c r="F241" i="15"/>
  <c r="D239" i="15"/>
  <c r="F240" i="20"/>
  <c r="D240" i="20"/>
  <c r="D241" i="20" s="1"/>
  <c r="F243" i="24" l="1"/>
  <c r="D242" i="24"/>
  <c r="D243" i="24" s="1"/>
  <c r="C241" i="24"/>
  <c r="F240" i="15"/>
  <c r="D240" i="15"/>
  <c r="D241" i="15" s="1"/>
  <c r="C241" i="20"/>
  <c r="F243" i="20"/>
  <c r="D242" i="20"/>
  <c r="D243" i="20" s="1"/>
  <c r="F248" i="24" l="1"/>
  <c r="C243" i="24"/>
  <c r="D244" i="24"/>
  <c r="F248" i="20"/>
  <c r="C243" i="20"/>
  <c r="D244" i="20"/>
  <c r="F243" i="15"/>
  <c r="F242" i="15"/>
  <c r="C241" i="15"/>
  <c r="D242" i="15"/>
  <c r="D243" i="15" s="1"/>
  <c r="F245" i="24" l="1"/>
  <c r="D245" i="24"/>
  <c r="F248" i="15"/>
  <c r="F244" i="15"/>
  <c r="C243" i="15"/>
  <c r="D244" i="15"/>
  <c r="D245" i="20"/>
  <c r="F245" i="20"/>
  <c r="F246" i="24" l="1"/>
  <c r="D246" i="24"/>
  <c r="D246" i="20"/>
  <c r="F246" i="20"/>
  <c r="F245" i="15"/>
  <c r="D245" i="15"/>
  <c r="F247" i="24" l="1"/>
  <c r="D247" i="24"/>
  <c r="D248" i="24" s="1"/>
  <c r="F246" i="15"/>
  <c r="D246" i="15"/>
  <c r="D247" i="20"/>
  <c r="D248" i="20" s="1"/>
  <c r="F247" i="20"/>
  <c r="D249" i="24" l="1"/>
  <c r="F253" i="24"/>
  <c r="C248" i="24"/>
  <c r="F253" i="20"/>
  <c r="C248" i="20"/>
  <c r="D249" i="20"/>
  <c r="F247" i="15"/>
  <c r="D247" i="15"/>
  <c r="D248" i="15" s="1"/>
  <c r="F250" i="24" l="1"/>
  <c r="D250" i="24"/>
  <c r="F250" i="20"/>
  <c r="D250" i="20"/>
  <c r="F249" i="15"/>
  <c r="C248" i="15"/>
  <c r="D249" i="15"/>
  <c r="F253" i="15"/>
  <c r="F251" i="24" l="1"/>
  <c r="D251" i="24"/>
  <c r="D250" i="15"/>
  <c r="F250" i="15"/>
  <c r="D251" i="20"/>
  <c r="F251" i="20"/>
  <c r="F252" i="24" l="1"/>
  <c r="D252" i="24"/>
  <c r="D253" i="24" s="1"/>
  <c r="F252" i="20"/>
  <c r="D252" i="20"/>
  <c r="D253" i="20" s="1"/>
  <c r="F251" i="15"/>
  <c r="D251" i="15"/>
  <c r="F258" i="24" l="1"/>
  <c r="C253" i="24"/>
  <c r="D254" i="24"/>
  <c r="F252" i="15"/>
  <c r="D252" i="15"/>
  <c r="D253" i="15" s="1"/>
  <c r="F258" i="20"/>
  <c r="C253" i="20"/>
  <c r="D254" i="20"/>
  <c r="F255" i="24" l="1"/>
  <c r="D255" i="24"/>
  <c r="F254" i="15"/>
  <c r="C253" i="15"/>
  <c r="F258" i="15"/>
  <c r="D254" i="15"/>
  <c r="F255" i="20"/>
  <c r="D255" i="20"/>
  <c r="D256" i="24" l="1"/>
  <c r="F256" i="24"/>
  <c r="F255" i="15"/>
  <c r="D255" i="15"/>
  <c r="F256" i="20"/>
  <c r="D256" i="20"/>
  <c r="F257" i="24" l="1"/>
  <c r="D257" i="24"/>
  <c r="D258" i="24" s="1"/>
  <c r="F257" i="20"/>
  <c r="D257" i="20"/>
  <c r="D258" i="20" s="1"/>
  <c r="F256" i="15"/>
  <c r="D256" i="15"/>
  <c r="D259" i="24" l="1"/>
  <c r="F263" i="24"/>
  <c r="C258" i="24"/>
  <c r="F257" i="15"/>
  <c r="D257" i="15"/>
  <c r="D258" i="15" s="1"/>
  <c r="F263" i="20"/>
  <c r="C258" i="20"/>
  <c r="D259" i="20"/>
  <c r="F260" i="24" l="1"/>
  <c r="D260" i="24"/>
  <c r="D260" i="20"/>
  <c r="F260" i="20"/>
  <c r="F259" i="15"/>
  <c r="C258" i="15"/>
  <c r="D259" i="15"/>
  <c r="F263" i="15"/>
  <c r="F261" i="24" l="1"/>
  <c r="D261" i="24"/>
  <c r="D261" i="20"/>
  <c r="F261" i="20"/>
  <c r="F260" i="15"/>
  <c r="D260" i="15"/>
  <c r="F262" i="24" l="1"/>
  <c r="D262" i="24"/>
  <c r="D263" i="24" s="1"/>
  <c r="F261" i="15"/>
  <c r="D261" i="15"/>
  <c r="D262" i="20"/>
  <c r="D263" i="20" s="1"/>
  <c r="F262" i="20"/>
  <c r="F268" i="24" l="1"/>
  <c r="C263" i="24"/>
  <c r="D264" i="24"/>
  <c r="F268" i="20"/>
  <c r="C263" i="20"/>
  <c r="D264" i="20"/>
  <c r="F262" i="15"/>
  <c r="D262" i="15"/>
  <c r="D263" i="15" s="1"/>
  <c r="F265" i="24" l="1"/>
  <c r="D265" i="24"/>
  <c r="F268" i="15"/>
  <c r="F264" i="15"/>
  <c r="C263" i="15"/>
  <c r="D264" i="15"/>
  <c r="F265" i="20"/>
  <c r="D265" i="20"/>
  <c r="F266" i="24" l="1"/>
  <c r="D266" i="24"/>
  <c r="F265" i="15"/>
  <c r="D265" i="15"/>
  <c r="D266" i="20"/>
  <c r="F266" i="20"/>
  <c r="D267" i="24" l="1"/>
  <c r="D268" i="24" s="1"/>
  <c r="F267" i="24"/>
  <c r="F267" i="20"/>
  <c r="D267" i="20"/>
  <c r="D268" i="20" s="1"/>
  <c r="F266" i="15"/>
  <c r="D266" i="15"/>
  <c r="F273" i="24" l="1"/>
  <c r="D269" i="24"/>
  <c r="C268" i="24"/>
  <c r="F267" i="15"/>
  <c r="D267" i="15"/>
  <c r="D268" i="15" s="1"/>
  <c r="C268" i="20"/>
  <c r="F273" i="20"/>
  <c r="D269" i="20"/>
  <c r="F270" i="24" l="1"/>
  <c r="D270" i="24"/>
  <c r="F273" i="15"/>
  <c r="F269" i="15"/>
  <c r="C268" i="15"/>
  <c r="D269" i="15"/>
  <c r="D270" i="20"/>
  <c r="F270" i="20"/>
  <c r="D271" i="24" l="1"/>
  <c r="F271" i="24"/>
  <c r="D270" i="15"/>
  <c r="F270" i="15"/>
  <c r="F271" i="20"/>
  <c r="D271" i="20"/>
  <c r="F272" i="24" l="1"/>
  <c r="D272" i="24"/>
  <c r="D273" i="24" s="1"/>
  <c r="D271" i="15"/>
  <c r="F271" i="15"/>
  <c r="F272" i="20"/>
  <c r="D272" i="20"/>
  <c r="D273" i="20" s="1"/>
  <c r="F278" i="24" l="1"/>
  <c r="D274" i="24"/>
  <c r="C273" i="24"/>
  <c r="F278" i="20"/>
  <c r="D274" i="20"/>
  <c r="C273" i="20"/>
  <c r="D272" i="15"/>
  <c r="D273" i="15" s="1"/>
  <c r="F272" i="15"/>
  <c r="F275" i="24" l="1"/>
  <c r="D275" i="24"/>
  <c r="C273" i="15"/>
  <c r="F278" i="15"/>
  <c r="F274" i="15"/>
  <c r="D274" i="15"/>
  <c r="F275" i="20"/>
  <c r="D275" i="20"/>
  <c r="D276" i="24" l="1"/>
  <c r="F276" i="24"/>
  <c r="D276" i="20"/>
  <c r="F276" i="20"/>
  <c r="F275" i="15"/>
  <c r="D275" i="15"/>
  <c r="F277" i="24" l="1"/>
  <c r="D277" i="24"/>
  <c r="D278" i="24" s="1"/>
  <c r="F276" i="15"/>
  <c r="D276" i="15"/>
  <c r="F277" i="20"/>
  <c r="D277" i="20"/>
  <c r="D278" i="20" s="1"/>
  <c r="F283" i="24" l="1"/>
  <c r="C278" i="24"/>
  <c r="D279" i="24"/>
  <c r="F283" i="20"/>
  <c r="D279" i="20"/>
  <c r="C278" i="20"/>
  <c r="F277" i="15"/>
  <c r="D277" i="15"/>
  <c r="D278" i="15" s="1"/>
  <c r="F280" i="24" l="1"/>
  <c r="D280" i="24"/>
  <c r="F280" i="20"/>
  <c r="D280" i="20"/>
  <c r="F283" i="15"/>
  <c r="F279" i="15"/>
  <c r="D279" i="15"/>
  <c r="C278" i="15"/>
  <c r="F281" i="24" l="1"/>
  <c r="D281" i="24"/>
  <c r="F280" i="15"/>
  <c r="D280" i="15"/>
  <c r="D281" i="20"/>
  <c r="F281" i="20"/>
  <c r="D282" i="24" l="1"/>
  <c r="D283" i="24" s="1"/>
  <c r="F282" i="24"/>
  <c r="F282" i="20"/>
  <c r="D282" i="20"/>
  <c r="D283" i="20" s="1"/>
  <c r="F281" i="15"/>
  <c r="D281" i="15"/>
  <c r="D284" i="24" l="1"/>
  <c r="F288" i="24"/>
  <c r="C283" i="24"/>
  <c r="F282" i="15"/>
  <c r="D282" i="15"/>
  <c r="D283" i="15" s="1"/>
  <c r="F288" i="20"/>
  <c r="C283" i="20"/>
  <c r="D284" i="20"/>
  <c r="F285" i="24" l="1"/>
  <c r="D285" i="24"/>
  <c r="F288" i="15"/>
  <c r="F284" i="15"/>
  <c r="C283" i="15"/>
  <c r="D284" i="15"/>
  <c r="D285" i="20"/>
  <c r="F285" i="20"/>
  <c r="F286" i="24" l="1"/>
  <c r="D286" i="24"/>
  <c r="D286" i="20"/>
  <c r="F286" i="20"/>
  <c r="D285" i="15"/>
  <c r="F285" i="15"/>
  <c r="F287" i="24" l="1"/>
  <c r="D287" i="24"/>
  <c r="D288" i="24" s="1"/>
  <c r="F286" i="15"/>
  <c r="D286" i="15"/>
  <c r="D287" i="20"/>
  <c r="D288" i="20" s="1"/>
  <c r="F287" i="20"/>
  <c r="C288" i="24" l="1"/>
  <c r="F293" i="24"/>
  <c r="D289" i="24"/>
  <c r="C288" i="20"/>
  <c r="F293" i="20"/>
  <c r="D289" i="20"/>
  <c r="F287" i="15"/>
  <c r="D287" i="15"/>
  <c r="D288" i="15" s="1"/>
  <c r="D290" i="24" l="1"/>
  <c r="F290" i="24"/>
  <c r="D289" i="15"/>
  <c r="F293" i="15"/>
  <c r="F289" i="15"/>
  <c r="C288" i="15"/>
  <c r="F290" i="20"/>
  <c r="D290" i="20"/>
  <c r="F291" i="24" l="1"/>
  <c r="D291" i="24"/>
  <c r="F291" i="20"/>
  <c r="D291" i="20"/>
  <c r="F290" i="15"/>
  <c r="D290" i="15"/>
  <c r="F292" i="24" l="1"/>
  <c r="D292" i="24"/>
  <c r="D293" i="24" s="1"/>
  <c r="F291" i="15"/>
  <c r="D291" i="15"/>
  <c r="D292" i="20"/>
  <c r="D293" i="20" s="1"/>
  <c r="F292" i="20"/>
  <c r="F298" i="24" l="1"/>
  <c r="C293" i="24"/>
  <c r="D294" i="24"/>
  <c r="D294" i="20"/>
  <c r="F298" i="20"/>
  <c r="C293" i="20"/>
  <c r="F292" i="15"/>
  <c r="D292" i="15"/>
  <c r="D293" i="15" s="1"/>
  <c r="F295" i="24" l="1"/>
  <c r="D295" i="24"/>
  <c r="F295" i="20"/>
  <c r="D295" i="20"/>
  <c r="F298" i="15"/>
  <c r="F294" i="15"/>
  <c r="C293" i="15"/>
  <c r="D294" i="15"/>
  <c r="F296" i="24" l="1"/>
  <c r="D296" i="24"/>
  <c r="F295" i="15"/>
  <c r="D295" i="15"/>
  <c r="F296" i="20"/>
  <c r="D296" i="20"/>
  <c r="F297" i="24" l="1"/>
  <c r="D297" i="24"/>
  <c r="D298" i="24" s="1"/>
  <c r="F297" i="20"/>
  <c r="D297" i="20"/>
  <c r="D298" i="20" s="1"/>
  <c r="D296" i="15"/>
  <c r="F296" i="15"/>
  <c r="D299" i="24" l="1"/>
  <c r="F303" i="24"/>
  <c r="C298" i="24"/>
  <c r="C298" i="20"/>
  <c r="F303" i="20"/>
  <c r="D299" i="20"/>
  <c r="F297" i="15"/>
  <c r="D297" i="15"/>
  <c r="D298" i="15" s="1"/>
  <c r="D300" i="24" l="1"/>
  <c r="F300" i="24"/>
  <c r="F300" i="20"/>
  <c r="D300" i="20"/>
  <c r="F303" i="15"/>
  <c r="F299" i="15"/>
  <c r="C298" i="15"/>
  <c r="D299" i="15"/>
  <c r="F301" i="24" l="1"/>
  <c r="D301" i="24"/>
  <c r="D300" i="15"/>
  <c r="F300" i="15"/>
  <c r="F301" i="20"/>
  <c r="D301" i="20"/>
  <c r="F302" i="24" l="1"/>
  <c r="D302" i="24"/>
  <c r="D303" i="24" s="1"/>
  <c r="F302" i="20"/>
  <c r="D302" i="20"/>
  <c r="D303" i="20" s="1"/>
  <c r="D301" i="15"/>
  <c r="F301" i="15"/>
  <c r="F308" i="24" l="1"/>
  <c r="C303" i="24"/>
  <c r="D304" i="24"/>
  <c r="D302" i="15"/>
  <c r="D303" i="15" s="1"/>
  <c r="F302" i="15"/>
  <c r="F308" i="20"/>
  <c r="C303" i="20"/>
  <c r="D304" i="20"/>
  <c r="F305" i="24" l="1"/>
  <c r="D305" i="24"/>
  <c r="F305" i="20"/>
  <c r="D305" i="20"/>
  <c r="F304" i="15"/>
  <c r="C303" i="15"/>
  <c r="D304" i="15"/>
  <c r="F308" i="15"/>
  <c r="F306" i="24" l="1"/>
  <c r="D306" i="24"/>
  <c r="D306" i="20"/>
  <c r="F306" i="20"/>
  <c r="F305" i="15"/>
  <c r="D305" i="15"/>
  <c r="D307" i="24" l="1"/>
  <c r="D308" i="24" s="1"/>
  <c r="F307" i="24"/>
  <c r="F306" i="15"/>
  <c r="D306" i="15"/>
  <c r="F307" i="20"/>
  <c r="D307" i="20"/>
  <c r="D308" i="20" s="1"/>
  <c r="D309" i="24" l="1"/>
  <c r="F313" i="24"/>
  <c r="C308" i="24"/>
  <c r="F313" i="20"/>
  <c r="C308" i="20"/>
  <c r="D309" i="20"/>
  <c r="F307" i="15"/>
  <c r="D307" i="15"/>
  <c r="D308" i="15" s="1"/>
  <c r="F310" i="24" l="1"/>
  <c r="D310" i="24"/>
  <c r="F310" i="20"/>
  <c r="D310" i="20"/>
  <c r="F309" i="15"/>
  <c r="C308" i="15"/>
  <c r="F313" i="15"/>
  <c r="D309" i="15"/>
  <c r="F311" i="24" l="1"/>
  <c r="D311" i="24"/>
  <c r="D310" i="15"/>
  <c r="F310" i="15"/>
  <c r="D311" i="20"/>
  <c r="F311" i="20"/>
  <c r="D312" i="24" l="1"/>
  <c r="D313" i="24" s="1"/>
  <c r="F312" i="24"/>
  <c r="F312" i="20"/>
  <c r="D312" i="20"/>
  <c r="D313" i="20" s="1"/>
  <c r="D311" i="15"/>
  <c r="F311" i="15"/>
  <c r="C313" i="24" l="1"/>
  <c r="F318" i="24"/>
  <c r="D314" i="24"/>
  <c r="D312" i="15"/>
  <c r="D313" i="15" s="1"/>
  <c r="F312" i="15"/>
  <c r="F318" i="20"/>
  <c r="D314" i="20"/>
  <c r="C313" i="20"/>
  <c r="D315" i="24" l="1"/>
  <c r="F315" i="24"/>
  <c r="F315" i="20"/>
  <c r="D315" i="20"/>
  <c r="D314" i="15"/>
  <c r="C313" i="15"/>
  <c r="F318" i="15"/>
  <c r="F314" i="15"/>
  <c r="F316" i="24" l="1"/>
  <c r="D316" i="24"/>
  <c r="F315" i="15"/>
  <c r="D315" i="15"/>
  <c r="F316" i="20"/>
  <c r="D316" i="20"/>
  <c r="F317" i="24" l="1"/>
  <c r="D317" i="24"/>
  <c r="D318" i="24" s="1"/>
  <c r="F317" i="20"/>
  <c r="D317" i="20"/>
  <c r="D318" i="20" s="1"/>
  <c r="F316" i="15"/>
  <c r="D316" i="15"/>
  <c r="C318" i="24" l="1"/>
  <c r="F323" i="24"/>
  <c r="D319" i="24"/>
  <c r="F317" i="15"/>
  <c r="D317" i="15"/>
  <c r="D318" i="15" s="1"/>
  <c r="C318" i="20"/>
  <c r="D319" i="20"/>
  <c r="F323" i="20"/>
  <c r="D320" i="24" l="1"/>
  <c r="F320" i="24"/>
  <c r="F320" i="20"/>
  <c r="D320" i="20"/>
  <c r="F319" i="15"/>
  <c r="C318" i="15"/>
  <c r="F323" i="15"/>
  <c r="D319" i="15"/>
  <c r="D321" i="24" l="1"/>
  <c r="F321" i="24"/>
  <c r="D320" i="15"/>
  <c r="F320" i="15"/>
  <c r="F321" i="20"/>
  <c r="D321" i="20"/>
  <c r="D322" i="24" l="1"/>
  <c r="D323" i="24" s="1"/>
  <c r="F322" i="24"/>
  <c r="F322" i="20"/>
  <c r="D322" i="20"/>
  <c r="D323" i="20" s="1"/>
  <c r="F321" i="15"/>
  <c r="D321" i="15"/>
  <c r="C323" i="24" l="1"/>
  <c r="F326" i="24"/>
  <c r="D324" i="24"/>
  <c r="F322" i="15"/>
  <c r="D322" i="15"/>
  <c r="D323" i="15" s="1"/>
  <c r="C323" i="20"/>
  <c r="F326" i="20"/>
  <c r="D324" i="20"/>
  <c r="D325" i="24" l="1"/>
  <c r="D326" i="24" s="1"/>
  <c r="F325" i="24"/>
  <c r="F325" i="20"/>
  <c r="D325" i="20"/>
  <c r="D326" i="20" s="1"/>
  <c r="F324" i="15"/>
  <c r="C323" i="15"/>
  <c r="D324" i="15"/>
  <c r="F326" i="15"/>
  <c r="F332" i="24" l="1"/>
  <c r="C326" i="24"/>
  <c r="D327" i="24"/>
  <c r="F325" i="15"/>
  <c r="D325" i="15"/>
  <c r="D326" i="15" s="1"/>
  <c r="D327" i="20"/>
  <c r="F332" i="20"/>
  <c r="C326" i="20"/>
  <c r="D328" i="24" l="1"/>
  <c r="F328" i="24"/>
  <c r="F328" i="20"/>
  <c r="D328" i="20"/>
  <c r="F332" i="15"/>
  <c r="F327" i="15"/>
  <c r="C326" i="15"/>
  <c r="D327" i="15"/>
  <c r="D329" i="24" l="1"/>
  <c r="F329" i="24"/>
  <c r="D328" i="15"/>
  <c r="F328" i="15"/>
  <c r="F329" i="20"/>
  <c r="D329" i="20"/>
  <c r="F330" i="24" l="1"/>
  <c r="D330" i="24"/>
  <c r="F330" i="20"/>
  <c r="D330" i="20"/>
  <c r="D329" i="15"/>
  <c r="F329" i="15"/>
  <c r="F331" i="24" l="1"/>
  <c r="D331" i="24"/>
  <c r="D332" i="24" s="1"/>
  <c r="F331" i="20"/>
  <c r="D331" i="20"/>
  <c r="D332" i="20" s="1"/>
  <c r="D330" i="15"/>
  <c r="F330" i="15"/>
  <c r="F335" i="24" l="1"/>
  <c r="D333" i="24"/>
  <c r="C332" i="24"/>
  <c r="F331" i="15"/>
  <c r="D331" i="15"/>
  <c r="D332" i="15" s="1"/>
  <c r="C332" i="20"/>
  <c r="F335" i="20"/>
  <c r="D333" i="20"/>
  <c r="D334" i="24" l="1"/>
  <c r="D335" i="24" s="1"/>
  <c r="F334" i="24"/>
  <c r="F334" i="20"/>
  <c r="D334" i="20"/>
  <c r="D335" i="20" s="1"/>
  <c r="F335" i="15"/>
  <c r="F333" i="15"/>
  <c r="C332" i="15"/>
  <c r="D333" i="15"/>
  <c r="F341" i="24" l="1"/>
  <c r="D336" i="24"/>
  <c r="C335" i="24"/>
  <c r="D334" i="15"/>
  <c r="D335" i="15" s="1"/>
  <c r="F334" i="15"/>
  <c r="D336" i="20"/>
  <c r="C335" i="20"/>
  <c r="F341" i="20"/>
  <c r="D337" i="24" l="1"/>
  <c r="F337" i="24"/>
  <c r="F341" i="15"/>
  <c r="F336" i="15"/>
  <c r="D336" i="15"/>
  <c r="C335" i="15"/>
  <c r="F337" i="20"/>
  <c r="D337" i="20"/>
  <c r="D338" i="24" l="1"/>
  <c r="F338" i="24"/>
  <c r="D337" i="15"/>
  <c r="F337" i="15"/>
  <c r="F338" i="20"/>
  <c r="D338" i="20"/>
  <c r="F339" i="24" l="1"/>
  <c r="D339" i="24"/>
  <c r="F339" i="20"/>
  <c r="D339" i="20"/>
  <c r="D338" i="15"/>
  <c r="F338" i="15"/>
  <c r="F340" i="24" l="1"/>
  <c r="D340" i="24"/>
  <c r="D341" i="24" s="1"/>
  <c r="D339" i="15"/>
  <c r="F339" i="15"/>
  <c r="F340" i="20"/>
  <c r="D340" i="20"/>
  <c r="D341" i="20" s="1"/>
  <c r="F344" i="24" l="1"/>
  <c r="D342" i="24"/>
  <c r="C341" i="24"/>
  <c r="F340" i="15"/>
  <c r="D340" i="15"/>
  <c r="D341" i="15" s="1"/>
  <c r="C341" i="20"/>
  <c r="F344" i="20"/>
  <c r="D342" i="20"/>
  <c r="D343" i="24" l="1"/>
  <c r="D344" i="24" s="1"/>
  <c r="F343" i="24"/>
  <c r="F343" i="20"/>
  <c r="D343" i="20"/>
  <c r="D344" i="20" s="1"/>
  <c r="F344" i="15"/>
  <c r="F342" i="15"/>
  <c r="C341" i="15"/>
  <c r="D342" i="15"/>
  <c r="F350" i="24" l="1"/>
  <c r="C344" i="24"/>
  <c r="D345" i="24"/>
  <c r="D343" i="15"/>
  <c r="D344" i="15" s="1"/>
  <c r="F343" i="15"/>
  <c r="F350" i="20"/>
  <c r="C344" i="20"/>
  <c r="D345" i="20"/>
  <c r="F346" i="24" l="1"/>
  <c r="D346" i="24"/>
  <c r="D346" i="20"/>
  <c r="F346" i="20"/>
  <c r="F350" i="15"/>
  <c r="F345" i="15"/>
  <c r="C344" i="15"/>
  <c r="D345" i="15"/>
  <c r="D347" i="24" l="1"/>
  <c r="F347" i="24"/>
  <c r="F346" i="15"/>
  <c r="D346" i="15"/>
  <c r="F347" i="20"/>
  <c r="D347" i="20"/>
  <c r="F348" i="24" l="1"/>
  <c r="D348" i="24"/>
  <c r="F348" i="20"/>
  <c r="D348" i="20"/>
  <c r="F347" i="15"/>
  <c r="D347" i="15"/>
  <c r="F349" i="24" l="1"/>
  <c r="D349" i="24"/>
  <c r="D350" i="24" s="1"/>
  <c r="F348" i="15"/>
  <c r="D348" i="15"/>
  <c r="F349" i="20"/>
  <c r="D349" i="20"/>
  <c r="D350" i="20" s="1"/>
  <c r="D351" i="24" l="1"/>
  <c r="F354" i="24"/>
  <c r="C350" i="24"/>
  <c r="F354" i="20"/>
  <c r="C350" i="20"/>
  <c r="D351" i="20"/>
  <c r="F349" i="15"/>
  <c r="D349" i="15"/>
  <c r="D350" i="15" s="1"/>
  <c r="F352" i="24" l="1"/>
  <c r="D352" i="24"/>
  <c r="F354" i="15"/>
  <c r="F351" i="15"/>
  <c r="C350" i="15"/>
  <c r="D351" i="15"/>
  <c r="F352" i="20"/>
  <c r="D352" i="20"/>
  <c r="F353" i="24" l="1"/>
  <c r="D353" i="24"/>
  <c r="D354" i="24" s="1"/>
  <c r="D352" i="15"/>
  <c r="F352" i="15"/>
  <c r="F353" i="20"/>
  <c r="D353" i="20"/>
  <c r="D354" i="20" s="1"/>
  <c r="F357" i="24" l="1"/>
  <c r="D355" i="24"/>
  <c r="C354" i="24"/>
  <c r="C354" i="20"/>
  <c r="F357" i="20"/>
  <c r="D355" i="20"/>
  <c r="F353" i="15"/>
  <c r="D353" i="15"/>
  <c r="D354" i="15" s="1"/>
  <c r="F356" i="24" l="1"/>
  <c r="D356" i="24"/>
  <c r="D357" i="24" s="1"/>
  <c r="D356" i="20"/>
  <c r="D357" i="20" s="1"/>
  <c r="F356" i="20"/>
  <c r="F357" i="15"/>
  <c r="F355" i="15"/>
  <c r="C354" i="15"/>
  <c r="D355" i="15"/>
  <c r="F363" i="24" l="1"/>
  <c r="D358" i="24"/>
  <c r="C357" i="24"/>
  <c r="D356" i="15"/>
  <c r="D357" i="15" s="1"/>
  <c r="F356" i="15"/>
  <c r="C357" i="20"/>
  <c r="D358" i="20"/>
  <c r="F363" i="20"/>
  <c r="F359" i="24" l="1"/>
  <c r="D359" i="24"/>
  <c r="F359" i="20"/>
  <c r="D359" i="20"/>
  <c r="F363" i="15"/>
  <c r="F358" i="15"/>
  <c r="C357" i="15"/>
  <c r="D358" i="15"/>
  <c r="F360" i="24" l="1"/>
  <c r="D360" i="24"/>
  <c r="F359" i="15"/>
  <c r="D359" i="15"/>
  <c r="F360" i="20"/>
  <c r="D360" i="20"/>
  <c r="F361" i="24" l="1"/>
  <c r="D361" i="24"/>
  <c r="F361" i="20"/>
  <c r="D361" i="20"/>
  <c r="F360" i="15"/>
  <c r="D360" i="15"/>
  <c r="F362" i="24" l="1"/>
  <c r="D362" i="24"/>
  <c r="D363" i="24" s="1"/>
  <c r="D361" i="15"/>
  <c r="F361" i="15"/>
  <c r="F362" i="20"/>
  <c r="D362" i="20"/>
  <c r="D363" i="20" s="1"/>
  <c r="C363" i="24" l="1"/>
  <c r="F366" i="24"/>
  <c r="D364" i="24"/>
  <c r="F362" i="15"/>
  <c r="D362" i="15"/>
  <c r="D363" i="15" s="1"/>
  <c r="C363" i="20"/>
  <c r="F366" i="20"/>
  <c r="D364" i="20"/>
  <c r="D365" i="24" l="1"/>
  <c r="D366" i="24" s="1"/>
  <c r="F365" i="24"/>
  <c r="F365" i="20"/>
  <c r="D365" i="20"/>
  <c r="D366" i="20" s="1"/>
  <c r="F366" i="15"/>
  <c r="F364" i="15"/>
  <c r="C363" i="15"/>
  <c r="D364" i="15"/>
  <c r="C366" i="24" l="1"/>
  <c r="F372" i="24"/>
  <c r="D367" i="24"/>
  <c r="C366" i="20"/>
  <c r="D367" i="20"/>
  <c r="F372" i="20"/>
  <c r="D365" i="15"/>
  <c r="D366" i="15" s="1"/>
  <c r="F365" i="15"/>
  <c r="F368" i="24" l="1"/>
  <c r="D368" i="24"/>
  <c r="F372" i="15"/>
  <c r="F367" i="15"/>
  <c r="C366" i="15"/>
  <c r="D367" i="15"/>
  <c r="D368" i="20"/>
  <c r="F368" i="20"/>
  <c r="F369" i="24" l="1"/>
  <c r="D369" i="24"/>
  <c r="F368" i="15"/>
  <c r="D368" i="15"/>
  <c r="D369" i="20"/>
  <c r="F369" i="20"/>
  <c r="F370" i="24" l="1"/>
  <c r="D370" i="24"/>
  <c r="D370" i="20"/>
  <c r="F370" i="20"/>
  <c r="F369" i="15"/>
  <c r="D369" i="15"/>
  <c r="F371" i="24" l="1"/>
  <c r="D371" i="24"/>
  <c r="D372" i="24" s="1"/>
  <c r="D370" i="15"/>
  <c r="F370" i="15"/>
  <c r="D371" i="20"/>
  <c r="D372" i="20" s="1"/>
  <c r="F371" i="20"/>
  <c r="C372" i="24" l="1"/>
  <c r="D373" i="24"/>
  <c r="F376" i="24"/>
  <c r="C372" i="20"/>
  <c r="D373" i="20"/>
  <c r="F376" i="20"/>
  <c r="F371" i="15"/>
  <c r="D371" i="15"/>
  <c r="D372" i="15" s="1"/>
  <c r="F374" i="24" l="1"/>
  <c r="D374" i="24"/>
  <c r="F376" i="15"/>
  <c r="F373" i="15"/>
  <c r="C372" i="15"/>
  <c r="D373" i="15"/>
  <c r="D374" i="20"/>
  <c r="F374" i="20"/>
  <c r="F375" i="24" l="1"/>
  <c r="D375" i="24"/>
  <c r="D376" i="24" s="1"/>
  <c r="F375" i="20"/>
  <c r="D375" i="20"/>
  <c r="D376" i="20" s="1"/>
  <c r="F374" i="15"/>
  <c r="D374" i="15"/>
  <c r="C376" i="24" l="1"/>
  <c r="D377" i="24"/>
  <c r="F379" i="24"/>
  <c r="F375" i="15"/>
  <c r="D375" i="15"/>
  <c r="D376" i="15" s="1"/>
  <c r="C376" i="20"/>
  <c r="F379" i="20"/>
  <c r="D377" i="20"/>
  <c r="D378" i="24" l="1"/>
  <c r="D379" i="24" s="1"/>
  <c r="F378" i="24"/>
  <c r="F377" i="15"/>
  <c r="C376" i="15"/>
  <c r="D377" i="15"/>
  <c r="F379" i="15"/>
  <c r="F378" i="20"/>
  <c r="D378" i="20"/>
  <c r="D379" i="20" s="1"/>
  <c r="F380" i="24" l="1"/>
  <c r="C379" i="24"/>
  <c r="D380" i="24"/>
  <c r="F378" i="15"/>
  <c r="D378" i="15"/>
  <c r="D379" i="15" s="1"/>
  <c r="D380" i="20"/>
  <c r="F380" i="20"/>
  <c r="C379" i="20"/>
  <c r="F384" i="24" l="1"/>
  <c r="D381" i="24"/>
  <c r="C380" i="24"/>
  <c r="F384" i="20"/>
  <c r="C380" i="20"/>
  <c r="D381" i="20"/>
  <c r="C379" i="15"/>
  <c r="F380" i="15"/>
  <c r="D380" i="15"/>
  <c r="D382" i="24" l="1"/>
  <c r="F382" i="24"/>
  <c r="F382" i="20"/>
  <c r="D382" i="20"/>
  <c r="F384" i="15"/>
  <c r="D381" i="15"/>
  <c r="F381" i="15"/>
  <c r="C380" i="15"/>
  <c r="D383" i="24" l="1"/>
  <c r="D384" i="24" s="1"/>
  <c r="F383" i="24"/>
  <c r="F382" i="15"/>
  <c r="D382" i="15"/>
  <c r="F383" i="20"/>
  <c r="D383" i="20"/>
  <c r="D384" i="20" s="1"/>
  <c r="D385" i="24" l="1"/>
  <c r="F388" i="24"/>
  <c r="C384" i="24"/>
  <c r="F388" i="20"/>
  <c r="C384" i="20"/>
  <c r="D385" i="20"/>
  <c r="F383" i="15"/>
  <c r="D383" i="15"/>
  <c r="D384" i="15" s="1"/>
  <c r="D386" i="24" l="1"/>
  <c r="F386" i="24"/>
  <c r="F386" i="20"/>
  <c r="D386" i="20"/>
  <c r="F385" i="15"/>
  <c r="C384" i="15"/>
  <c r="F388" i="15"/>
  <c r="D385" i="15"/>
  <c r="F387" i="24" l="1"/>
  <c r="D387" i="24"/>
  <c r="D388" i="24" s="1"/>
  <c r="F386" i="15"/>
  <c r="D386" i="15"/>
  <c r="D387" i="20"/>
  <c r="D388" i="20" s="1"/>
  <c r="F387" i="20"/>
  <c r="C388" i="24" l="1"/>
  <c r="F392" i="24"/>
  <c r="D389" i="24"/>
  <c r="F392" i="20"/>
  <c r="D389" i="20"/>
  <c r="C388" i="20"/>
  <c r="F387" i="15"/>
  <c r="D387" i="15"/>
  <c r="D388" i="15" s="1"/>
  <c r="F390" i="24" l="1"/>
  <c r="D390" i="24"/>
  <c r="D390" i="20"/>
  <c r="F390" i="20"/>
  <c r="F392" i="15"/>
  <c r="F389" i="15"/>
  <c r="C388" i="15"/>
  <c r="D389" i="15"/>
  <c r="D391" i="24" l="1"/>
  <c r="D392" i="24" s="1"/>
  <c r="F391" i="24"/>
  <c r="F390" i="15"/>
  <c r="D390" i="15"/>
  <c r="F391" i="20"/>
  <c r="D391" i="20"/>
  <c r="D392" i="20" s="1"/>
  <c r="D393" i="24" l="1"/>
  <c r="C392" i="24"/>
  <c r="F401" i="24"/>
  <c r="F401" i="20"/>
  <c r="C392" i="20"/>
  <c r="D393" i="20"/>
  <c r="F391" i="15"/>
  <c r="D391" i="15"/>
  <c r="D392" i="15" s="1"/>
  <c r="D394" i="24" l="1"/>
  <c r="F394" i="24"/>
  <c r="F394" i="20"/>
  <c r="D394" i="20"/>
  <c r="F401" i="15"/>
  <c r="F393" i="15"/>
  <c r="C392" i="15"/>
  <c r="D393" i="15"/>
  <c r="D395" i="24" l="1"/>
  <c r="F395" i="24"/>
  <c r="F394" i="15"/>
  <c r="D394" i="15"/>
  <c r="F395" i="20"/>
  <c r="D395" i="20"/>
  <c r="D396" i="24" l="1"/>
  <c r="F396" i="24"/>
  <c r="F396" i="20"/>
  <c r="D396" i="20"/>
  <c r="F395" i="15"/>
  <c r="D395" i="15"/>
  <c r="D397" i="24" l="1"/>
  <c r="F397" i="24"/>
  <c r="F397" i="20"/>
  <c r="D397" i="20"/>
  <c r="D396" i="15"/>
  <c r="F396" i="15"/>
  <c r="F398" i="24" l="1"/>
  <c r="D398" i="24"/>
  <c r="F397" i="15"/>
  <c r="D397" i="15"/>
  <c r="D398" i="20"/>
  <c r="F398" i="20"/>
  <c r="F399" i="24" l="1"/>
  <c r="D399" i="24"/>
  <c r="D399" i="20"/>
  <c r="F399" i="20"/>
  <c r="F398" i="15"/>
  <c r="D398" i="15"/>
  <c r="F400" i="24" l="1"/>
  <c r="D400" i="24"/>
  <c r="D401" i="24" s="1"/>
  <c r="D399" i="15"/>
  <c r="F399" i="15"/>
  <c r="D400" i="20"/>
  <c r="D401" i="20" s="1"/>
  <c r="F400" i="20"/>
  <c r="F408" i="24" l="1"/>
  <c r="C401" i="24"/>
  <c r="D402" i="24"/>
  <c r="F400" i="15"/>
  <c r="D400" i="15"/>
  <c r="D401" i="15" s="1"/>
  <c r="F408" i="20"/>
  <c r="C401" i="20"/>
  <c r="D402" i="20"/>
  <c r="F403" i="24" l="1"/>
  <c r="D403" i="24"/>
  <c r="F408" i="15"/>
  <c r="F402" i="15"/>
  <c r="C401" i="15"/>
  <c r="D402" i="15"/>
  <c r="D403" i="20"/>
  <c r="F403" i="20"/>
  <c r="F404" i="24" l="1"/>
  <c r="D404" i="24"/>
  <c r="D404" i="20"/>
  <c r="F404" i="20"/>
  <c r="D403" i="15"/>
  <c r="F403" i="15"/>
  <c r="F405" i="24" l="1"/>
  <c r="D405" i="24"/>
  <c r="F404" i="15"/>
  <c r="D404" i="15"/>
  <c r="F405" i="20"/>
  <c r="D405" i="20"/>
  <c r="F406" i="24" l="1"/>
  <c r="D406" i="24"/>
  <c r="F406" i="20"/>
  <c r="D406" i="20"/>
  <c r="F405" i="15"/>
  <c r="D405" i="15"/>
  <c r="D407" i="24" l="1"/>
  <c r="D408" i="24" s="1"/>
  <c r="F407" i="24"/>
  <c r="F406" i="15"/>
  <c r="D406" i="15"/>
  <c r="F407" i="20"/>
  <c r="D407" i="20"/>
  <c r="D408" i="20" s="1"/>
  <c r="D409" i="24" l="1"/>
  <c r="C408" i="24"/>
  <c r="C408" i="20"/>
  <c r="D409" i="20"/>
  <c r="D407" i="15"/>
  <c r="D408" i="15" s="1"/>
  <c r="F407" i="15"/>
  <c r="D410" i="24" l="1"/>
  <c r="F410" i="24"/>
  <c r="F409" i="15"/>
  <c r="C408" i="15"/>
  <c r="F412" i="15"/>
  <c r="D409" i="15"/>
  <c r="F410" i="20"/>
  <c r="D410" i="20"/>
  <c r="D411" i="24" l="1"/>
  <c r="D412" i="24" s="1"/>
  <c r="F411" i="24"/>
  <c r="F410" i="15"/>
  <c r="D410" i="15"/>
  <c r="F411" i="20"/>
  <c r="D411" i="20"/>
  <c r="D412" i="20" s="1"/>
  <c r="C412" i="24" l="1"/>
  <c r="F413" i="24"/>
  <c r="D413" i="24"/>
  <c r="F413" i="20"/>
  <c r="D413" i="20"/>
  <c r="C412" i="20"/>
  <c r="F411" i="15"/>
  <c r="D411" i="15"/>
  <c r="D412" i="15" s="1"/>
  <c r="F414" i="24" l="1"/>
  <c r="D414" i="24"/>
  <c r="D415" i="24" s="1"/>
  <c r="F413" i="15"/>
  <c r="C412" i="15"/>
  <c r="D413" i="15"/>
  <c r="D414" i="20"/>
  <c r="D415" i="20" s="1"/>
  <c r="F414" i="20"/>
  <c r="C415" i="24" l="1"/>
  <c r="D416" i="24"/>
  <c r="D416" i="20"/>
  <c r="C415" i="20"/>
  <c r="F414" i="15"/>
  <c r="D414" i="15"/>
  <c r="D415" i="15" s="1"/>
  <c r="F423" i="24" l="1"/>
  <c r="F417" i="24"/>
  <c r="D417" i="24"/>
  <c r="C416" i="24"/>
  <c r="C415" i="15"/>
  <c r="D416" i="15"/>
  <c r="F423" i="20"/>
  <c r="F417" i="20"/>
  <c r="C416" i="20"/>
  <c r="D417" i="20"/>
  <c r="F418" i="24" l="1"/>
  <c r="D418" i="24"/>
  <c r="F418" i="20"/>
  <c r="D418" i="20"/>
  <c r="F417" i="15"/>
  <c r="C416" i="15"/>
  <c r="F423" i="15"/>
  <c r="D417" i="15"/>
  <c r="D419" i="24" l="1"/>
  <c r="F419" i="24"/>
  <c r="F418" i="15"/>
  <c r="D418" i="15"/>
  <c r="F419" i="20"/>
  <c r="D419" i="20"/>
  <c r="F420" i="24" l="1"/>
  <c r="D420" i="24"/>
  <c r="F420" i="20"/>
  <c r="D420" i="20"/>
  <c r="F419" i="15"/>
  <c r="D419" i="15"/>
  <c r="F421" i="24" l="1"/>
  <c r="D421" i="24"/>
  <c r="F420" i="15"/>
  <c r="D420" i="15"/>
  <c r="D421" i="20"/>
  <c r="F421" i="20"/>
  <c r="F422" i="24" l="1"/>
  <c r="D422" i="24"/>
  <c r="D423" i="24" s="1"/>
  <c r="F422" i="20"/>
  <c r="D422" i="20"/>
  <c r="D423" i="20" s="1"/>
  <c r="F421" i="15"/>
  <c r="D421" i="15"/>
  <c r="F428" i="24" l="1"/>
  <c r="C423" i="24"/>
  <c r="D424" i="24"/>
  <c r="F422" i="15"/>
  <c r="D422" i="15"/>
  <c r="D423" i="15" s="1"/>
  <c r="F428" i="20"/>
  <c r="C423" i="20"/>
  <c r="D424" i="20"/>
  <c r="F425" i="24" l="1"/>
  <c r="D425" i="24"/>
  <c r="F425" i="20"/>
  <c r="D425" i="20"/>
  <c r="D424" i="15"/>
  <c r="F428" i="15"/>
  <c r="F424" i="15"/>
  <c r="C423" i="15"/>
  <c r="F426" i="24" l="1"/>
  <c r="D426" i="24"/>
  <c r="F425" i="15"/>
  <c r="D425" i="15"/>
  <c r="D426" i="20"/>
  <c r="F426" i="20"/>
  <c r="F427" i="24" l="1"/>
  <c r="D427" i="24"/>
  <c r="D428" i="24" s="1"/>
  <c r="F427" i="20"/>
  <c r="D427" i="20"/>
  <c r="D428" i="20" s="1"/>
  <c r="F426" i="15"/>
  <c r="D426" i="15"/>
  <c r="F431" i="24" l="1"/>
  <c r="C428" i="24"/>
  <c r="D429" i="24"/>
  <c r="F427" i="15"/>
  <c r="D427" i="15"/>
  <c r="D428" i="15" s="1"/>
  <c r="F431" i="20"/>
  <c r="C428" i="20"/>
  <c r="D429" i="20"/>
  <c r="D430" i="24" l="1"/>
  <c r="D431" i="24" s="1"/>
  <c r="F430" i="24"/>
  <c r="F430" i="20"/>
  <c r="D430" i="20"/>
  <c r="D431" i="20" s="1"/>
  <c r="F429" i="15"/>
  <c r="C428" i="15"/>
  <c r="F431" i="15"/>
  <c r="D429" i="15"/>
  <c r="F438" i="24" l="1"/>
  <c r="C431" i="24"/>
  <c r="D432" i="24"/>
  <c r="F430" i="15"/>
  <c r="D430" i="15"/>
  <c r="D431" i="15" s="1"/>
  <c r="F438" i="20"/>
  <c r="C431" i="20"/>
  <c r="D432" i="20"/>
  <c r="D433" i="24" l="1"/>
  <c r="F433" i="24"/>
  <c r="D432" i="15"/>
  <c r="F438" i="15"/>
  <c r="F432" i="15"/>
  <c r="C431" i="15"/>
  <c r="F433" i="20"/>
  <c r="D433" i="20"/>
  <c r="D434" i="24" l="1"/>
  <c r="F434" i="24"/>
  <c r="F434" i="20"/>
  <c r="D434" i="20"/>
  <c r="F433" i="15"/>
  <c r="D433" i="15"/>
  <c r="D435" i="24" l="1"/>
  <c r="F435" i="24"/>
  <c r="F434" i="15"/>
  <c r="D434" i="15"/>
  <c r="F435" i="20"/>
  <c r="D435" i="20"/>
  <c r="D436" i="24" l="1"/>
  <c r="F436" i="24"/>
  <c r="F436" i="20"/>
  <c r="D436" i="20"/>
  <c r="F435" i="15"/>
  <c r="D435" i="15"/>
  <c r="D437" i="24" l="1"/>
  <c r="D438" i="24" s="1"/>
  <c r="F437" i="24"/>
  <c r="F436" i="15"/>
  <c r="D436" i="15"/>
  <c r="F437" i="20"/>
  <c r="D437" i="20"/>
  <c r="D438" i="20" s="1"/>
  <c r="F440" i="24" l="1"/>
  <c r="C438" i="24"/>
  <c r="D439" i="24"/>
  <c r="D440" i="24" s="1"/>
  <c r="C438" i="20"/>
  <c r="D439" i="20"/>
  <c r="D440" i="20" s="1"/>
  <c r="F440" i="20"/>
  <c r="F437" i="15"/>
  <c r="D437" i="15"/>
  <c r="D438" i="15" s="1"/>
  <c r="F444" i="24" l="1"/>
  <c r="C440" i="24"/>
  <c r="D441" i="24"/>
  <c r="C440" i="20"/>
  <c r="D441" i="20"/>
  <c r="F444" i="20"/>
  <c r="F439" i="15"/>
  <c r="C438" i="15"/>
  <c r="D439" i="15"/>
  <c r="D440" i="15" s="1"/>
  <c r="F440" i="15"/>
  <c r="D442" i="24" l="1"/>
  <c r="F442" i="24"/>
  <c r="F444" i="15"/>
  <c r="F441" i="15"/>
  <c r="C440" i="15"/>
  <c r="D441" i="15"/>
  <c r="F442" i="20"/>
  <c r="D442" i="20"/>
  <c r="D443" i="24" l="1"/>
  <c r="D444" i="24" s="1"/>
  <c r="F443" i="24"/>
  <c r="F442" i="15"/>
  <c r="D442" i="15"/>
  <c r="F443" i="20"/>
  <c r="D443" i="20"/>
  <c r="D444" i="20" s="1"/>
  <c r="F450" i="24" l="1"/>
  <c r="C444" i="24"/>
  <c r="D445" i="24"/>
  <c r="C444" i="20"/>
  <c r="D445" i="20"/>
  <c r="F450" i="20"/>
  <c r="D443" i="15"/>
  <c r="D444" i="15" s="1"/>
  <c r="F443" i="15"/>
  <c r="F446" i="24" l="1"/>
  <c r="D446" i="24"/>
  <c r="D445" i="15"/>
  <c r="F450" i="15"/>
  <c r="F445" i="15"/>
  <c r="C444" i="15"/>
  <c r="D446" i="20"/>
  <c r="F446" i="20"/>
  <c r="F447" i="24" l="1"/>
  <c r="D447" i="24"/>
  <c r="D447" i="20"/>
  <c r="F447" i="20"/>
  <c r="F446" i="15"/>
  <c r="D446" i="15"/>
  <c r="F448" i="24" l="1"/>
  <c r="D448" i="24"/>
  <c r="D447" i="15"/>
  <c r="F447" i="15"/>
  <c r="D448" i="20"/>
  <c r="F448" i="20"/>
  <c r="F449" i="24" l="1"/>
  <c r="D449" i="24"/>
  <c r="D450" i="24" s="1"/>
  <c r="D449" i="20"/>
  <c r="D450" i="20" s="1"/>
  <c r="F449" i="20"/>
  <c r="F448" i="15"/>
  <c r="D448" i="15"/>
  <c r="D451" i="24" l="1"/>
  <c r="F455" i="24"/>
  <c r="C450" i="24"/>
  <c r="F449" i="15"/>
  <c r="D449" i="15"/>
  <c r="D450" i="15" s="1"/>
  <c r="C450" i="20"/>
  <c r="D451" i="20"/>
  <c r="F455" i="20"/>
  <c r="D452" i="24" l="1"/>
  <c r="F452" i="24"/>
  <c r="F452" i="20"/>
  <c r="D452" i="20"/>
  <c r="D451" i="15"/>
  <c r="F455" i="15"/>
  <c r="F451" i="15"/>
  <c r="C450" i="15"/>
  <c r="F453" i="24" l="1"/>
  <c r="D453" i="24"/>
  <c r="D452" i="15"/>
  <c r="F452" i="15"/>
  <c r="D453" i="20"/>
  <c r="F453" i="20"/>
  <c r="F454" i="24" l="1"/>
  <c r="D454" i="24"/>
  <c r="D455" i="24" s="1"/>
  <c r="D454" i="20"/>
  <c r="D455" i="20" s="1"/>
  <c r="F454" i="20"/>
  <c r="D453" i="15"/>
  <c r="F453" i="15"/>
  <c r="C455" i="24" l="1"/>
  <c r="F461" i="24" s="1"/>
  <c r="D456" i="24"/>
  <c r="F454" i="15"/>
  <c r="D454" i="15"/>
  <c r="D455" i="15" s="1"/>
  <c r="C455" i="20"/>
  <c r="F461" i="20" s="1"/>
  <c r="D456" i="20"/>
  <c r="D457" i="24" l="1"/>
  <c r="F457" i="24"/>
  <c r="F457" i="20"/>
  <c r="D457" i="20"/>
  <c r="D456" i="15"/>
  <c r="F461" i="15"/>
  <c r="F456" i="15"/>
  <c r="C455" i="15"/>
  <c r="F458" i="24" l="1"/>
  <c r="D458" i="24"/>
  <c r="F457" i="15"/>
  <c r="D457" i="15"/>
  <c r="F458" i="20"/>
  <c r="D458" i="20"/>
  <c r="F459" i="24" l="1"/>
  <c r="D459" i="24"/>
  <c r="F459" i="20"/>
  <c r="D459" i="20"/>
  <c r="D458" i="15"/>
  <c r="F458" i="15"/>
  <c r="F460" i="24" l="1"/>
  <c r="D460" i="24"/>
  <c r="D461" i="24" s="1"/>
  <c r="F459" i="15"/>
  <c r="D459" i="15"/>
  <c r="F460" i="20"/>
  <c r="D460" i="20"/>
  <c r="D461" i="20" s="1"/>
  <c r="C461" i="24" l="1"/>
  <c r="F463" i="24" s="1"/>
  <c r="D462" i="24"/>
  <c r="D463" i="24" s="1"/>
  <c r="F460" i="15"/>
  <c r="D460" i="15"/>
  <c r="D461" i="15" s="1"/>
  <c r="C461" i="20"/>
  <c r="F463" i="20" s="1"/>
  <c r="D462" i="20"/>
  <c r="D463" i="20" s="1"/>
  <c r="C463" i="24" l="1"/>
  <c r="F466" i="24" s="1"/>
  <c r="D464" i="24"/>
  <c r="C463" i="20"/>
  <c r="F466" i="20" s="1"/>
  <c r="D464" i="20"/>
  <c r="D462" i="15"/>
  <c r="D463" i="15" s="1"/>
  <c r="F463" i="15"/>
  <c r="F462" i="15"/>
  <c r="C461" i="15"/>
  <c r="F465" i="24" l="1"/>
  <c r="D465" i="24"/>
  <c r="D466" i="24" s="1"/>
  <c r="F466" i="15"/>
  <c r="D464" i="15"/>
  <c r="F464" i="15"/>
  <c r="C463" i="15"/>
  <c r="F465" i="20"/>
  <c r="D465" i="20"/>
  <c r="D466" i="20" s="1"/>
  <c r="D467" i="24" l="1"/>
  <c r="C466" i="24"/>
  <c r="F469" i="24" s="1"/>
  <c r="D467" i="20"/>
  <c r="C466" i="20"/>
  <c r="F469" i="20" s="1"/>
  <c r="F465" i="15"/>
  <c r="D465" i="15"/>
  <c r="D466" i="15" s="1"/>
  <c r="F468" i="24" l="1"/>
  <c r="D468" i="24"/>
  <c r="D469" i="24" s="1"/>
  <c r="F467" i="15"/>
  <c r="C466" i="15"/>
  <c r="F469" i="15"/>
  <c r="D467" i="15"/>
  <c r="F468" i="20"/>
  <c r="D468" i="20"/>
  <c r="D469" i="20" s="1"/>
  <c r="C469" i="24" l="1"/>
  <c r="F472" i="24" s="1"/>
  <c r="D470" i="24"/>
  <c r="F468" i="15"/>
  <c r="D468" i="15"/>
  <c r="D469" i="15" s="1"/>
  <c r="C469" i="20"/>
  <c r="F472" i="20" s="1"/>
  <c r="D470" i="20"/>
  <c r="D471" i="24" l="1"/>
  <c r="D472" i="24" s="1"/>
  <c r="F471" i="24"/>
  <c r="D471" i="20"/>
  <c r="D472" i="20" s="1"/>
  <c r="F471" i="20"/>
  <c r="F472" i="15"/>
  <c r="F470" i="15"/>
  <c r="C469" i="15"/>
  <c r="D470" i="15"/>
  <c r="C472" i="24" l="1"/>
  <c r="F475" i="24" s="1"/>
  <c r="D473" i="24"/>
  <c r="D471" i="15"/>
  <c r="D472" i="15" s="1"/>
  <c r="F471" i="15"/>
  <c r="C472" i="20"/>
  <c r="F475" i="20" s="1"/>
  <c r="D473" i="20"/>
  <c r="F474" i="24" l="1"/>
  <c r="D474" i="24"/>
  <c r="D475" i="24" s="1"/>
  <c r="F474" i="20"/>
  <c r="D474" i="20"/>
  <c r="D475" i="20" s="1"/>
  <c r="F473" i="15"/>
  <c r="C472" i="15"/>
  <c r="F475" i="15"/>
  <c r="D473" i="15"/>
  <c r="D476" i="24" l="1"/>
  <c r="C475" i="24"/>
  <c r="F478" i="24" s="1"/>
  <c r="F474" i="15"/>
  <c r="D474" i="15"/>
  <c r="D475" i="15" s="1"/>
  <c r="D476" i="20"/>
  <c r="C475" i="20"/>
  <c r="F478" i="20" s="1"/>
  <c r="D477" i="24" l="1"/>
  <c r="D478" i="24" s="1"/>
  <c r="F477" i="24"/>
  <c r="D477" i="20"/>
  <c r="D478" i="20" s="1"/>
  <c r="F477" i="20"/>
  <c r="F478" i="15"/>
  <c r="F476" i="15"/>
  <c r="C475" i="15"/>
  <c r="D476" i="15"/>
  <c r="D479" i="24" l="1"/>
  <c r="C478" i="24"/>
  <c r="F488" i="24" s="1"/>
  <c r="F477" i="15"/>
  <c r="D477" i="15"/>
  <c r="D478" i="15" s="1"/>
  <c r="D479" i="20"/>
  <c r="C478" i="20"/>
  <c r="F488" i="20" s="1"/>
  <c r="D480" i="24" l="1"/>
  <c r="F480" i="24"/>
  <c r="D480" i="20"/>
  <c r="F480" i="20"/>
  <c r="F488" i="15"/>
  <c r="F479" i="15"/>
  <c r="C478" i="15"/>
  <c r="D479" i="15"/>
  <c r="F481" i="24" l="1"/>
  <c r="D481" i="24"/>
  <c r="F481" i="20"/>
  <c r="D481" i="20"/>
  <c r="F480" i="15"/>
  <c r="D480" i="15"/>
  <c r="F482" i="24" l="1"/>
  <c r="D482" i="24"/>
  <c r="F481" i="15"/>
  <c r="D481" i="15"/>
  <c r="F482" i="20"/>
  <c r="D482" i="20"/>
  <c r="F483" i="24" l="1"/>
  <c r="D483" i="24"/>
  <c r="F483" i="20"/>
  <c r="D483" i="20"/>
  <c r="F482" i="15"/>
  <c r="D482" i="15"/>
  <c r="F484" i="24" l="1"/>
  <c r="D484" i="24"/>
  <c r="F483" i="15"/>
  <c r="D483" i="15"/>
  <c r="F484" i="20"/>
  <c r="D484" i="20"/>
  <c r="F485" i="24" l="1"/>
  <c r="D485" i="24"/>
  <c r="F485" i="20"/>
  <c r="D485" i="20"/>
  <c r="F484" i="15"/>
  <c r="D484" i="15"/>
  <c r="F486" i="24" l="1"/>
  <c r="D486" i="24"/>
  <c r="F485" i="15"/>
  <c r="D485" i="15"/>
  <c r="F486" i="20"/>
  <c r="D486" i="20"/>
  <c r="F487" i="24" l="1"/>
  <c r="D487" i="24"/>
  <c r="D488" i="24" s="1"/>
  <c r="F487" i="20"/>
  <c r="D487" i="20"/>
  <c r="D488" i="20" s="1"/>
  <c r="F486" i="15"/>
  <c r="D486" i="15"/>
  <c r="C488" i="24" l="1"/>
  <c r="F491" i="24" s="1"/>
  <c r="D489" i="24"/>
  <c r="D487" i="15"/>
  <c r="D488" i="15" s="1"/>
  <c r="F487" i="15"/>
  <c r="C488" i="20"/>
  <c r="F491" i="20" s="1"/>
  <c r="D489" i="20"/>
  <c r="D490" i="24" l="1"/>
  <c r="D491" i="24" s="1"/>
  <c r="F490" i="24"/>
  <c r="D490" i="20"/>
  <c r="D491" i="20" s="1"/>
  <c r="F490" i="20"/>
  <c r="F491" i="15"/>
  <c r="D489" i="15"/>
  <c r="F489" i="15"/>
  <c r="C488" i="15"/>
  <c r="D492" i="24" l="1"/>
  <c r="C491" i="24"/>
  <c r="F494" i="24" s="1"/>
  <c r="F490" i="15"/>
  <c r="D490" i="15"/>
  <c r="D491" i="15" s="1"/>
  <c r="D492" i="20"/>
  <c r="C491" i="20"/>
  <c r="F494" i="20" s="1"/>
  <c r="F493" i="24" l="1"/>
  <c r="D493" i="24"/>
  <c r="D494" i="24" s="1"/>
  <c r="F493" i="20"/>
  <c r="D493" i="20"/>
  <c r="D494" i="20" s="1"/>
  <c r="F494" i="15"/>
  <c r="F492" i="15"/>
  <c r="C491" i="15"/>
  <c r="D492" i="15"/>
  <c r="D495" i="24" l="1"/>
  <c r="C494" i="24"/>
  <c r="F498" i="24" s="1"/>
  <c r="F493" i="15"/>
  <c r="D493" i="15"/>
  <c r="D494" i="15" s="1"/>
  <c r="D495" i="20"/>
  <c r="C494" i="20"/>
  <c r="F498" i="20" s="1"/>
  <c r="D496" i="24" l="1"/>
  <c r="F496" i="24"/>
  <c r="D496" i="20"/>
  <c r="F496" i="20"/>
  <c r="F495" i="15"/>
  <c r="C494" i="15"/>
  <c r="F498" i="15"/>
  <c r="D495" i="15"/>
  <c r="D497" i="24" l="1"/>
  <c r="D498" i="24" s="1"/>
  <c r="F497" i="24"/>
  <c r="F497" i="20"/>
  <c r="D497" i="20"/>
  <c r="D498" i="20" s="1"/>
  <c r="F496" i="15"/>
  <c r="D496" i="15"/>
  <c r="C498" i="24" l="1"/>
  <c r="D499" i="24"/>
  <c r="F497" i="15"/>
  <c r="D497" i="15"/>
  <c r="D498" i="15" s="1"/>
  <c r="C498" i="20"/>
  <c r="D499" i="20"/>
  <c r="F500" i="24" l="1"/>
  <c r="D500" i="24"/>
  <c r="D501" i="24" s="1"/>
  <c r="F500" i="20"/>
  <c r="D500" i="20"/>
  <c r="D501" i="20" s="1"/>
  <c r="F499" i="15"/>
  <c r="C498" i="15"/>
  <c r="D499" i="15"/>
  <c r="F501" i="15"/>
  <c r="C501" i="24" l="1"/>
  <c r="D502" i="24"/>
  <c r="C501" i="20"/>
  <c r="D502" i="20"/>
  <c r="F500" i="15"/>
  <c r="D500" i="15"/>
  <c r="D501" i="15" s="1"/>
  <c r="D503" i="24" l="1"/>
  <c r="C502" i="24"/>
  <c r="F509" i="24" s="1"/>
  <c r="D502" i="15"/>
  <c r="C501" i="15"/>
  <c r="D503" i="20"/>
  <c r="C502" i="20"/>
  <c r="F509" i="20" s="1"/>
  <c r="F504" i="24" l="1"/>
  <c r="D504" i="24"/>
  <c r="F504" i="20"/>
  <c r="D504" i="20"/>
  <c r="F503" i="15"/>
  <c r="D503" i="15"/>
  <c r="C502" i="15"/>
  <c r="F509" i="15"/>
  <c r="D505" i="24" l="1"/>
  <c r="F505" i="24"/>
  <c r="F504" i="15"/>
  <c r="D504" i="15"/>
  <c r="D505" i="20"/>
  <c r="F505" i="20"/>
  <c r="D506" i="24" l="1"/>
  <c r="F506" i="24"/>
  <c r="D506" i="20"/>
  <c r="F506" i="20"/>
  <c r="F505" i="15"/>
  <c r="D505" i="15"/>
  <c r="D507" i="24" l="1"/>
  <c r="F507" i="24"/>
  <c r="F506" i="15"/>
  <c r="D506" i="15"/>
  <c r="D507" i="20"/>
  <c r="F507" i="20"/>
  <c r="D508" i="24" l="1"/>
  <c r="D509" i="24" s="1"/>
  <c r="F508" i="24"/>
  <c r="F507" i="15"/>
  <c r="D507" i="15"/>
  <c r="D508" i="20"/>
  <c r="D509" i="20" s="1"/>
  <c r="F508" i="20"/>
  <c r="C509" i="24" l="1"/>
  <c r="F514" i="24" s="1"/>
  <c r="D510" i="24"/>
  <c r="C509" i="20"/>
  <c r="F514" i="20" s="1"/>
  <c r="D510" i="20"/>
  <c r="D508" i="15"/>
  <c r="D509" i="15" s="1"/>
  <c r="F508" i="15"/>
  <c r="D511" i="24" l="1"/>
  <c r="F511" i="24"/>
  <c r="F514" i="15"/>
  <c r="F510" i="15"/>
  <c r="C509" i="15"/>
  <c r="D510" i="15"/>
  <c r="D511" i="20"/>
  <c r="F511" i="20"/>
  <c r="F512" i="24" l="1"/>
  <c r="D512" i="24"/>
  <c r="F512" i="20"/>
  <c r="D512" i="20"/>
  <c r="F511" i="15"/>
  <c r="D511" i="15"/>
  <c r="F513" i="24" l="1"/>
  <c r="D513" i="24"/>
  <c r="D514" i="24" s="1"/>
  <c r="F512" i="15"/>
  <c r="D512" i="15"/>
  <c r="F513" i="20"/>
  <c r="D513" i="20"/>
  <c r="D514" i="20" s="1"/>
  <c r="D515" i="24" l="1"/>
  <c r="C514" i="24"/>
  <c r="F517" i="24" s="1"/>
  <c r="D515" i="20"/>
  <c r="C514" i="20"/>
  <c r="F517" i="20" s="1"/>
  <c r="F513" i="15"/>
  <c r="D513" i="15"/>
  <c r="D514" i="15" s="1"/>
  <c r="D516" i="24" l="1"/>
  <c r="D517" i="24" s="1"/>
  <c r="F516" i="24"/>
  <c r="D516" i="20"/>
  <c r="D517" i="20" s="1"/>
  <c r="F516" i="20"/>
  <c r="D515" i="15"/>
  <c r="F517" i="15"/>
  <c r="F515" i="15"/>
  <c r="C514" i="15"/>
  <c r="D518" i="24" l="1"/>
  <c r="C517" i="24"/>
  <c r="D518" i="20"/>
  <c r="C517" i="20"/>
  <c r="D516" i="15"/>
  <c r="D517" i="15" s="1"/>
  <c r="F516" i="15"/>
  <c r="F519" i="24" l="1"/>
  <c r="D519" i="24"/>
  <c r="F519" i="20"/>
  <c r="D519" i="20"/>
  <c r="F524" i="15"/>
  <c r="F518" i="15"/>
  <c r="C517" i="15"/>
  <c r="D518" i="15"/>
  <c r="F520" i="24" l="1"/>
  <c r="D520" i="24"/>
  <c r="F519" i="15"/>
  <c r="D519" i="15"/>
  <c r="F520" i="20"/>
  <c r="D520" i="20"/>
  <c r="F521" i="24" l="1"/>
  <c r="D521" i="24"/>
  <c r="D520" i="15"/>
  <c r="F520" i="15"/>
  <c r="F521" i="20"/>
  <c r="D521" i="20"/>
  <c r="F522" i="24" l="1"/>
  <c r="D522" i="24"/>
  <c r="F522" i="20"/>
  <c r="D522" i="20"/>
  <c r="F521" i="15"/>
  <c r="D521" i="15"/>
  <c r="F523" i="24" l="1"/>
  <c r="D523" i="24"/>
  <c r="D524" i="24" s="1"/>
  <c r="F522" i="15"/>
  <c r="D522" i="15"/>
  <c r="F523" i="20"/>
  <c r="D523" i="20"/>
  <c r="D524" i="20" s="1"/>
  <c r="C524" i="24" l="1"/>
  <c r="F526" i="24" s="1"/>
  <c r="D525" i="24"/>
  <c r="D526" i="24" s="1"/>
  <c r="C524" i="20"/>
  <c r="F526" i="20" s="1"/>
  <c r="D525" i="20"/>
  <c r="D526" i="20" s="1"/>
  <c r="F523" i="15"/>
  <c r="D523" i="15"/>
  <c r="D524" i="15" s="1"/>
  <c r="C526" i="24" l="1"/>
  <c r="F530" i="24" s="1"/>
  <c r="D527" i="24"/>
  <c r="F526" i="15"/>
  <c r="F525" i="15"/>
  <c r="C524" i="15"/>
  <c r="D525" i="15"/>
  <c r="D526" i="15" s="1"/>
  <c r="C526" i="20"/>
  <c r="F530" i="20" s="1"/>
  <c r="D527" i="20"/>
  <c r="F528" i="24" l="1"/>
  <c r="D528" i="24"/>
  <c r="F530" i="15"/>
  <c r="F527" i="15"/>
  <c r="C526" i="15"/>
  <c r="D527" i="15"/>
  <c r="F528" i="20"/>
  <c r="D528" i="20"/>
  <c r="F529" i="24" l="1"/>
  <c r="D529" i="24"/>
  <c r="D530" i="24" s="1"/>
  <c r="D528" i="15"/>
  <c r="F528" i="15"/>
  <c r="F529" i="20"/>
  <c r="D529" i="20"/>
  <c r="D530" i="20" s="1"/>
  <c r="C530" i="24" l="1"/>
  <c r="F536" i="24" s="1"/>
  <c r="D531" i="24"/>
  <c r="F529" i="15"/>
  <c r="D529" i="15"/>
  <c r="D530" i="15" s="1"/>
  <c r="C530" i="20"/>
  <c r="F536" i="20" s="1"/>
  <c r="D531" i="20"/>
  <c r="D532" i="24" l="1"/>
  <c r="F532" i="24"/>
  <c r="D532" i="20"/>
  <c r="F532" i="20"/>
  <c r="D531" i="15"/>
  <c r="F536" i="15"/>
  <c r="F531" i="15"/>
  <c r="C530" i="15"/>
  <c r="D533" i="24" l="1"/>
  <c r="F533" i="24"/>
  <c r="F532" i="15"/>
  <c r="D532" i="15"/>
  <c r="D533" i="20"/>
  <c r="F533" i="20"/>
  <c r="D534" i="24" l="1"/>
  <c r="F534" i="24"/>
  <c r="D534" i="20"/>
  <c r="F534" i="20"/>
  <c r="D533" i="15"/>
  <c r="F533" i="15"/>
  <c r="D535" i="24" l="1"/>
  <c r="D536" i="24" s="1"/>
  <c r="F535" i="24"/>
  <c r="F534" i="15"/>
  <c r="D534" i="15"/>
  <c r="D535" i="20"/>
  <c r="D536" i="20" s="1"/>
  <c r="F535" i="20"/>
  <c r="D537" i="24" l="1"/>
  <c r="C536" i="24"/>
  <c r="F541" i="24" s="1"/>
  <c r="F537" i="24"/>
  <c r="D537" i="20"/>
  <c r="C536" i="20"/>
  <c r="F541" i="20" s="1"/>
  <c r="F537" i="20"/>
  <c r="F535" i="15"/>
  <c r="D535" i="15"/>
  <c r="D536" i="15" s="1"/>
  <c r="D538" i="24" l="1"/>
  <c r="F538" i="24"/>
  <c r="F541" i="15"/>
  <c r="D537" i="15"/>
  <c r="F537" i="15"/>
  <c r="C536" i="15"/>
  <c r="D538" i="20"/>
  <c r="F538" i="20"/>
  <c r="D539" i="24" l="1"/>
  <c r="F539" i="24"/>
  <c r="F538" i="15"/>
  <c r="D538" i="15"/>
  <c r="D539" i="20"/>
  <c r="F539" i="20"/>
  <c r="F540" i="24" l="1"/>
  <c r="D540" i="24"/>
  <c r="D541" i="24" s="1"/>
  <c r="F539" i="15"/>
  <c r="D539" i="15"/>
  <c r="F540" i="20"/>
  <c r="D540" i="20"/>
  <c r="D541" i="20" s="1"/>
  <c r="D542" i="24" l="1"/>
  <c r="C541" i="24"/>
  <c r="F547" i="24" s="1"/>
  <c r="C541" i="20"/>
  <c r="F547" i="20" s="1"/>
  <c r="D542" i="20"/>
  <c r="D540" i="15"/>
  <c r="D541" i="15" s="1"/>
  <c r="F540" i="15"/>
  <c r="F543" i="24" l="1"/>
  <c r="D543" i="24"/>
  <c r="F547" i="15"/>
  <c r="F542" i="15"/>
  <c r="C541" i="15"/>
  <c r="D542" i="15"/>
  <c r="F543" i="20"/>
  <c r="D543" i="20"/>
  <c r="F544" i="24" l="1"/>
  <c r="D544" i="24"/>
  <c r="F543" i="15"/>
  <c r="D543" i="15"/>
  <c r="F544" i="20"/>
  <c r="D544" i="20"/>
  <c r="F545" i="24" l="1"/>
  <c r="D545" i="24"/>
  <c r="F545" i="20"/>
  <c r="D545" i="20"/>
  <c r="F544" i="15"/>
  <c r="D544" i="15"/>
  <c r="F546" i="24" l="1"/>
  <c r="D546" i="24"/>
  <c r="D547" i="24" s="1"/>
  <c r="D545" i="15"/>
  <c r="F545" i="15"/>
  <c r="F546" i="20"/>
  <c r="D546" i="20"/>
  <c r="D547" i="20" s="1"/>
  <c r="F549" i="24" l="1"/>
  <c r="D548" i="24"/>
  <c r="D549" i="24" s="1"/>
  <c r="C547" i="24"/>
  <c r="F549" i="20"/>
  <c r="C547" i="20"/>
  <c r="D548" i="20"/>
  <c r="D549" i="20" s="1"/>
  <c r="F546" i="15"/>
  <c r="D546" i="15"/>
  <c r="D547" i="15" s="1"/>
  <c r="D550" i="24" l="1"/>
  <c r="F552" i="24"/>
  <c r="C549" i="24"/>
  <c r="F549" i="15"/>
  <c r="F548" i="15"/>
  <c r="C547" i="15"/>
  <c r="D548" i="15"/>
  <c r="D549" i="15" s="1"/>
  <c r="D550" i="20"/>
  <c r="F552" i="20"/>
  <c r="C549" i="20"/>
  <c r="F551" i="24" l="1"/>
  <c r="D551" i="24"/>
  <c r="D552" i="24" s="1"/>
  <c r="F551" i="20"/>
  <c r="D551" i="20"/>
  <c r="D552" i="20" s="1"/>
  <c r="F552" i="15"/>
  <c r="D550" i="15"/>
  <c r="F550" i="15"/>
  <c r="C549" i="15"/>
  <c r="C552" i="24" l="1"/>
  <c r="D553" i="24"/>
  <c r="F555" i="24"/>
  <c r="F551" i="15"/>
  <c r="D551" i="15"/>
  <c r="D552" i="15" s="1"/>
  <c r="C552" i="20"/>
  <c r="D553" i="20"/>
  <c r="F555" i="20"/>
  <c r="F554" i="24" l="1"/>
  <c r="D554" i="24"/>
  <c r="D555" i="24" s="1"/>
  <c r="F554" i="20"/>
  <c r="D554" i="20"/>
  <c r="D555" i="20" s="1"/>
  <c r="F555" i="15"/>
  <c r="F553" i="15"/>
  <c r="C552" i="15"/>
  <c r="D553" i="15"/>
  <c r="C555" i="24" l="1"/>
  <c r="D556" i="24"/>
  <c r="F558" i="24"/>
  <c r="F554" i="15"/>
  <c r="D554" i="15"/>
  <c r="D555" i="15" s="1"/>
  <c r="C555" i="20"/>
  <c r="D556" i="20"/>
  <c r="F558" i="20"/>
  <c r="F557" i="24" l="1"/>
  <c r="D557" i="24"/>
  <c r="D558" i="24" s="1"/>
  <c r="F557" i="20"/>
  <c r="D557" i="20"/>
  <c r="D558" i="20" s="1"/>
  <c r="D556" i="15"/>
  <c r="F558" i="15"/>
  <c r="F556" i="15"/>
  <c r="C555" i="15"/>
  <c r="F561" i="24" l="1"/>
  <c r="C558" i="24"/>
  <c r="D559" i="24"/>
  <c r="D557" i="15"/>
  <c r="D558" i="15" s="1"/>
  <c r="F557" i="15"/>
  <c r="F561" i="20"/>
  <c r="C558" i="20"/>
  <c r="D559" i="20"/>
  <c r="F560" i="24" l="1"/>
  <c r="D560" i="24"/>
  <c r="D561" i="24" s="1"/>
  <c r="F560" i="20"/>
  <c r="D560" i="20"/>
  <c r="D561" i="20" s="1"/>
  <c r="F561" i="15"/>
  <c r="F559" i="15"/>
  <c r="C558" i="15"/>
  <c r="D559" i="15"/>
  <c r="F564" i="24" l="1"/>
  <c r="D562" i="24"/>
  <c r="C561" i="24"/>
  <c r="D560" i="15"/>
  <c r="D561" i="15" s="1"/>
  <c r="F560" i="15"/>
  <c r="F564" i="20"/>
  <c r="C561" i="20"/>
  <c r="D562" i="20"/>
  <c r="F563" i="24" l="1"/>
  <c r="D563" i="24"/>
  <c r="D564" i="24" s="1"/>
  <c r="F563" i="20"/>
  <c r="D563" i="20"/>
  <c r="D564" i="20" s="1"/>
  <c r="F562" i="15"/>
  <c r="C561" i="15"/>
  <c r="F564" i="15"/>
  <c r="D562" i="15"/>
  <c r="C564" i="24" l="1"/>
  <c r="F571" i="24"/>
  <c r="D565" i="24"/>
  <c r="F563" i="15"/>
  <c r="D563" i="15"/>
  <c r="D564" i="15" s="1"/>
  <c r="C564" i="20"/>
  <c r="F571" i="20"/>
  <c r="D565" i="20"/>
  <c r="D566" i="24" l="1"/>
  <c r="F566" i="24"/>
  <c r="F565" i="15"/>
  <c r="C564" i="15"/>
  <c r="D565" i="15"/>
  <c r="F571" i="15"/>
  <c r="D566" i="20"/>
  <c r="F566" i="20"/>
  <c r="F567" i="24" l="1"/>
  <c r="D567" i="24"/>
  <c r="F567" i="20"/>
  <c r="D567" i="20"/>
  <c r="F566" i="15"/>
  <c r="D566" i="15"/>
  <c r="F568" i="24" l="1"/>
  <c r="D568" i="24"/>
  <c r="F567" i="15"/>
  <c r="D567" i="15"/>
  <c r="F568" i="20"/>
  <c r="D568" i="20"/>
  <c r="F569" i="24" l="1"/>
  <c r="D569" i="24"/>
  <c r="F569" i="20"/>
  <c r="D569" i="20"/>
  <c r="D568" i="15"/>
  <c r="F568" i="15"/>
  <c r="F570" i="24" l="1"/>
  <c r="D570" i="24"/>
  <c r="D571" i="24" s="1"/>
  <c r="F569" i="15"/>
  <c r="D569" i="15"/>
  <c r="F570" i="20"/>
  <c r="D570" i="20"/>
  <c r="D571" i="20" s="1"/>
  <c r="D572" i="24" l="1"/>
  <c r="C571" i="24"/>
  <c r="D572" i="20"/>
  <c r="C571" i="20"/>
  <c r="D570" i="15"/>
  <c r="D571" i="15" s="1"/>
  <c r="F570" i="15"/>
  <c r="F573" i="24" l="1"/>
  <c r="D573" i="24"/>
  <c r="D574" i="24" s="1"/>
  <c r="F573" i="20"/>
  <c r="D573" i="20"/>
  <c r="D574" i="20" s="1"/>
  <c r="F572" i="15"/>
  <c r="C571" i="15"/>
  <c r="D572" i="15"/>
  <c r="C574" i="24" l="1"/>
  <c r="D575" i="24"/>
  <c r="C574" i="20"/>
  <c r="D575" i="20"/>
  <c r="D573" i="15"/>
  <c r="D574" i="15" s="1"/>
  <c r="F573" i="15"/>
  <c r="F581" i="24" l="1"/>
  <c r="D576" i="24"/>
  <c r="C575" i="24"/>
  <c r="D575" i="15"/>
  <c r="C574" i="15"/>
  <c r="F581" i="20"/>
  <c r="C575" i="20"/>
  <c r="D576" i="20"/>
  <c r="D577" i="24" l="1"/>
  <c r="F577" i="24"/>
  <c r="F577" i="20"/>
  <c r="D577" i="20"/>
  <c r="F581" i="15"/>
  <c r="F576" i="15"/>
  <c r="C575" i="15"/>
  <c r="D576" i="15"/>
  <c r="F578" i="24" l="1"/>
  <c r="D578" i="24"/>
  <c r="F577" i="15"/>
  <c r="D577" i="15"/>
  <c r="D578" i="20"/>
  <c r="F578" i="20"/>
  <c r="D579" i="24" l="1"/>
  <c r="F579" i="24"/>
  <c r="F579" i="20"/>
  <c r="D579" i="20"/>
  <c r="D578" i="15"/>
  <c r="F578" i="15"/>
  <c r="F580" i="24" l="1"/>
  <c r="D580" i="24"/>
  <c r="D581" i="24" s="1"/>
  <c r="D579" i="15"/>
  <c r="F579" i="15"/>
  <c r="D580" i="20"/>
  <c r="D581" i="20" s="1"/>
  <c r="F580" i="20"/>
  <c r="C581" i="24" l="1"/>
  <c r="D582" i="24"/>
  <c r="F584" i="24"/>
  <c r="C581" i="20"/>
  <c r="D582" i="20"/>
  <c r="F584" i="20"/>
  <c r="F580" i="15"/>
  <c r="D580" i="15"/>
  <c r="D581" i="15" s="1"/>
  <c r="D583" i="24" l="1"/>
  <c r="D584" i="24" s="1"/>
  <c r="F583" i="24"/>
  <c r="F584" i="15"/>
  <c r="D582" i="15"/>
  <c r="F582" i="15"/>
  <c r="C581" i="15"/>
  <c r="F583" i="20"/>
  <c r="D583" i="20"/>
  <c r="D584" i="20" s="1"/>
  <c r="F587" i="24" l="1"/>
  <c r="C584" i="24"/>
  <c r="D585" i="24"/>
  <c r="F587" i="20"/>
  <c r="C584" i="20"/>
  <c r="D585" i="20"/>
  <c r="F583" i="15"/>
  <c r="D583" i="15"/>
  <c r="D584" i="15" s="1"/>
  <c r="D586" i="24" l="1"/>
  <c r="D587" i="24" s="1"/>
  <c r="F586" i="24"/>
  <c r="F586" i="20"/>
  <c r="D586" i="20"/>
  <c r="D587" i="20" s="1"/>
  <c r="C584" i="15"/>
  <c r="F585" i="15"/>
  <c r="D585" i="15"/>
  <c r="F587" i="15"/>
  <c r="D588" i="24" l="1"/>
  <c r="D589" i="24" s="1"/>
  <c r="F589" i="24"/>
  <c r="C587" i="24"/>
  <c r="F589" i="20"/>
  <c r="C587" i="20"/>
  <c r="D588" i="20"/>
  <c r="D589" i="20" s="1"/>
  <c r="F586" i="15"/>
  <c r="D586" i="15"/>
  <c r="D587" i="15" s="1"/>
  <c r="F591" i="24" l="1"/>
  <c r="C589" i="24"/>
  <c r="D590" i="24"/>
  <c r="D591" i="24" s="1"/>
  <c r="F589" i="15"/>
  <c r="F588" i="15"/>
  <c r="C587" i="15"/>
  <c r="D588" i="15"/>
  <c r="D589" i="15" s="1"/>
  <c r="C589" i="20"/>
  <c r="D590" i="20"/>
  <c r="D591" i="20" s="1"/>
  <c r="F591" i="20"/>
  <c r="F597" i="24" l="1"/>
  <c r="C591" i="24"/>
  <c r="D592" i="24"/>
  <c r="D590" i="15"/>
  <c r="D591" i="15" s="1"/>
  <c r="F591" i="15"/>
  <c r="C589" i="15"/>
  <c r="F590" i="15"/>
  <c r="F597" i="20"/>
  <c r="C591" i="20"/>
  <c r="D592" i="20"/>
  <c r="D593" i="24" l="1"/>
  <c r="F593" i="24"/>
  <c r="F593" i="20"/>
  <c r="D593" i="20"/>
  <c r="F592" i="15"/>
  <c r="C591" i="15"/>
  <c r="D592" i="15"/>
  <c r="F597" i="15"/>
  <c r="F594" i="24" l="1"/>
  <c r="D594" i="24"/>
  <c r="F593" i="15"/>
  <c r="D593" i="15"/>
  <c r="F594" i="20"/>
  <c r="D594" i="20"/>
  <c r="F595" i="24" l="1"/>
  <c r="D595" i="24"/>
  <c r="F595" i="20"/>
  <c r="D595" i="20"/>
  <c r="F594" i="15"/>
  <c r="D594" i="15"/>
  <c r="F596" i="24" l="1"/>
  <c r="D596" i="24"/>
  <c r="D597" i="24" s="1"/>
  <c r="F595" i="15"/>
  <c r="D595" i="15"/>
  <c r="D596" i="20"/>
  <c r="D597" i="20" s="1"/>
  <c r="F596" i="20"/>
  <c r="D598" i="24" l="1"/>
  <c r="C597" i="24"/>
  <c r="C597" i="20"/>
  <c r="D598" i="20"/>
  <c r="F596" i="15"/>
  <c r="D596" i="15"/>
  <c r="D597" i="15" s="1"/>
  <c r="F599" i="24" l="1"/>
  <c r="D599" i="24"/>
  <c r="F598" i="15"/>
  <c r="C597" i="15"/>
  <c r="D598" i="15"/>
  <c r="F599" i="20"/>
  <c r="D599" i="20"/>
  <c r="F600" i="24" l="1"/>
  <c r="D600" i="24"/>
  <c r="D600" i="20"/>
  <c r="F600" i="20"/>
  <c r="F599" i="15"/>
  <c r="D599" i="15"/>
  <c r="F601" i="24" l="1"/>
  <c r="D601" i="24"/>
  <c r="D600" i="15"/>
  <c r="F600" i="15"/>
  <c r="F601" i="20"/>
  <c r="D601" i="20"/>
  <c r="F602" i="24" l="1"/>
  <c r="D602" i="24"/>
  <c r="D603" i="24" s="1"/>
  <c r="D602" i="20"/>
  <c r="D603" i="20" s="1"/>
  <c r="F602" i="20"/>
  <c r="F601" i="15"/>
  <c r="D601" i="15"/>
  <c r="D604" i="24" l="1"/>
  <c r="C603" i="24"/>
  <c r="F602" i="15"/>
  <c r="D602" i="15"/>
  <c r="D603" i="15" s="1"/>
  <c r="C603" i="20"/>
  <c r="D604" i="20"/>
  <c r="C604" i="24" l="1"/>
  <c r="D605" i="24"/>
  <c r="F607" i="24"/>
  <c r="C604" i="20"/>
  <c r="D605" i="20"/>
  <c r="F607" i="20"/>
  <c r="C603" i="15"/>
  <c r="D604" i="15"/>
  <c r="F606" i="24" l="1"/>
  <c r="D606" i="24"/>
  <c r="D607" i="24" s="1"/>
  <c r="F606" i="20"/>
  <c r="D606" i="20"/>
  <c r="D607" i="20" s="1"/>
  <c r="F605" i="15"/>
  <c r="D605" i="15"/>
  <c r="C604" i="15"/>
  <c r="F607" i="15"/>
  <c r="F611" i="24" l="1"/>
  <c r="C607" i="24"/>
  <c r="D608" i="24"/>
  <c r="F606" i="15"/>
  <c r="D606" i="15"/>
  <c r="D607" i="15" s="1"/>
  <c r="C607" i="20"/>
  <c r="D608" i="20"/>
  <c r="F611" i="20"/>
  <c r="F609" i="24" l="1"/>
  <c r="D609" i="24"/>
  <c r="F609" i="20"/>
  <c r="D609" i="20"/>
  <c r="F608" i="15"/>
  <c r="C607" i="15"/>
  <c r="F611" i="15"/>
  <c r="D608" i="15"/>
  <c r="F610" i="24" l="1"/>
  <c r="D610" i="24"/>
  <c r="D611" i="24" s="1"/>
  <c r="D609" i="15"/>
  <c r="F609" i="15"/>
  <c r="F610" i="20"/>
  <c r="D610" i="20"/>
  <c r="D611" i="20" s="1"/>
  <c r="F615" i="24" l="1"/>
  <c r="D612" i="24"/>
  <c r="C611" i="24"/>
  <c r="C611" i="20"/>
  <c r="F615" i="20"/>
  <c r="D612" i="20"/>
  <c r="F610" i="15"/>
  <c r="D610" i="15"/>
  <c r="D611" i="15" s="1"/>
  <c r="D613" i="24" l="1"/>
  <c r="F613" i="24"/>
  <c r="F612" i="15"/>
  <c r="C611" i="15"/>
  <c r="D612" i="15"/>
  <c r="F615" i="15"/>
  <c r="F613" i="20"/>
  <c r="D613" i="20"/>
  <c r="F614" i="24" l="1"/>
  <c r="D614" i="24"/>
  <c r="D615" i="24" s="1"/>
  <c r="F613" i="15"/>
  <c r="D613" i="15"/>
  <c r="D614" i="20"/>
  <c r="D615" i="20" s="1"/>
  <c r="F614" i="20"/>
  <c r="F619" i="24" l="1"/>
  <c r="C615" i="24"/>
  <c r="D616" i="24"/>
  <c r="F619" i="20"/>
  <c r="C615" i="20"/>
  <c r="D616" i="20"/>
  <c r="D614" i="15"/>
  <c r="D615" i="15" s="1"/>
  <c r="F614" i="15"/>
  <c r="F617" i="24" l="1"/>
  <c r="D617" i="24"/>
  <c r="F616" i="15"/>
  <c r="C615" i="15"/>
  <c r="D616" i="15"/>
  <c r="F619" i="15"/>
  <c r="F617" i="20"/>
  <c r="D617" i="20"/>
  <c r="F618" i="24" l="1"/>
  <c r="D618" i="24"/>
  <c r="D619" i="24" s="1"/>
  <c r="F617" i="15"/>
  <c r="D617" i="15"/>
  <c r="D618" i="20"/>
  <c r="D619" i="20" s="1"/>
  <c r="F618" i="20"/>
  <c r="F624" i="24" l="1"/>
  <c r="C619" i="24"/>
  <c r="D620" i="24"/>
  <c r="F624" i="20"/>
  <c r="C619" i="20"/>
  <c r="D620" i="20"/>
  <c r="F618" i="15"/>
  <c r="D618" i="15"/>
  <c r="D619" i="15" s="1"/>
  <c r="F621" i="24" l="1"/>
  <c r="D621" i="24"/>
  <c r="F624" i="15"/>
  <c r="F620" i="15"/>
  <c r="C619" i="15"/>
  <c r="D620" i="15"/>
  <c r="F621" i="20"/>
  <c r="D621" i="20"/>
  <c r="D622" i="24" l="1"/>
  <c r="F622" i="24"/>
  <c r="D621" i="15"/>
  <c r="F621" i="15"/>
  <c r="F622" i="20"/>
  <c r="D622" i="20"/>
  <c r="F623" i="24" l="1"/>
  <c r="D623" i="24"/>
  <c r="D624" i="24" s="1"/>
  <c r="F623" i="20"/>
  <c r="D623" i="20"/>
  <c r="D624" i="20" s="1"/>
  <c r="F622" i="15"/>
  <c r="D622" i="15"/>
  <c r="C624" i="24" l="1"/>
  <c r="F628" i="24"/>
  <c r="D625" i="24"/>
  <c r="F856" i="15"/>
  <c r="D623" i="15"/>
  <c r="D624" i="15" s="1"/>
  <c r="F682" i="15"/>
  <c r="F623" i="15"/>
  <c r="C624" i="20"/>
  <c r="F628" i="20"/>
  <c r="D625" i="20"/>
  <c r="F626" i="24" l="1"/>
  <c r="D626" i="24"/>
  <c r="F626" i="20"/>
  <c r="D626" i="20"/>
  <c r="F1034" i="15"/>
  <c r="F628" i="15"/>
  <c r="F625" i="15"/>
  <c r="C624" i="15"/>
  <c r="D625" i="15"/>
  <c r="F627" i="24" l="1"/>
  <c r="D627" i="24"/>
  <c r="D628" i="24" s="1"/>
  <c r="F626" i="15"/>
  <c r="D626" i="15"/>
  <c r="D627" i="20"/>
  <c r="D628" i="20" s="1"/>
  <c r="F627" i="20"/>
  <c r="F633" i="24" l="1"/>
  <c r="C628" i="24"/>
  <c r="D629" i="24"/>
  <c r="D629" i="20"/>
  <c r="F633" i="20"/>
  <c r="C628" i="20"/>
  <c r="F627" i="15"/>
  <c r="D627" i="15"/>
  <c r="D628" i="15" s="1"/>
  <c r="D630" i="24" l="1"/>
  <c r="F630" i="24"/>
  <c r="D629" i="15"/>
  <c r="F644" i="15"/>
  <c r="F633" i="15"/>
  <c r="C628" i="15"/>
  <c r="F629" i="15"/>
  <c r="F630" i="20"/>
  <c r="D630" i="20"/>
  <c r="F631" i="24" l="1"/>
  <c r="D631" i="24"/>
  <c r="F631" i="20"/>
  <c r="D631" i="20"/>
  <c r="F671" i="15"/>
  <c r="F630" i="15"/>
  <c r="F661" i="15"/>
  <c r="D630" i="15"/>
  <c r="D632" i="24" l="1"/>
  <c r="D633" i="24" s="1"/>
  <c r="F632" i="24"/>
  <c r="F631" i="15"/>
  <c r="D631" i="15"/>
  <c r="F632" i="20"/>
  <c r="D632" i="20"/>
  <c r="D633" i="20" s="1"/>
  <c r="D634" i="24" l="1"/>
  <c r="F638" i="24"/>
  <c r="C633" i="24"/>
  <c r="D632" i="15"/>
  <c r="D633" i="15" s="1"/>
  <c r="F632" i="15"/>
  <c r="F638" i="20"/>
  <c r="C633" i="20"/>
  <c r="D634" i="20"/>
  <c r="F635" i="24" l="1"/>
  <c r="D635" i="24"/>
  <c r="D635" i="20"/>
  <c r="F635" i="20"/>
  <c r="F634" i="15"/>
  <c r="C633" i="15"/>
  <c r="D634" i="15"/>
  <c r="F636" i="24" l="1"/>
  <c r="D636" i="24"/>
  <c r="F635" i="15"/>
  <c r="D635" i="15"/>
  <c r="F636" i="20"/>
  <c r="D636" i="20"/>
  <c r="F637" i="24" l="1"/>
  <c r="D637" i="24"/>
  <c r="D638" i="24" s="1"/>
  <c r="D637" i="20"/>
  <c r="D638" i="20" s="1"/>
  <c r="F637" i="20"/>
  <c r="F1130" i="15"/>
  <c r="F836" i="15"/>
  <c r="F636" i="15"/>
  <c r="D636" i="15"/>
  <c r="C638" i="24" l="1"/>
  <c r="D639" i="24"/>
  <c r="F637" i="15"/>
  <c r="D637" i="15"/>
  <c r="F843" i="15"/>
  <c r="D639" i="20"/>
  <c r="C638" i="20"/>
  <c r="F640" i="24" l="1"/>
  <c r="D640" i="24"/>
  <c r="D640" i="20"/>
  <c r="F640" i="20"/>
  <c r="F850" i="15"/>
  <c r="D638" i="15"/>
  <c r="F641" i="24" l="1"/>
  <c r="D641" i="24"/>
  <c r="F681" i="15"/>
  <c r="C638" i="15"/>
  <c r="D639" i="15"/>
  <c r="F641" i="20"/>
  <c r="D641" i="20"/>
  <c r="F642" i="24" l="1"/>
  <c r="D642" i="24"/>
  <c r="D643" i="24" s="1"/>
  <c r="F640" i="15"/>
  <c r="D640" i="15"/>
  <c r="C639" i="15"/>
  <c r="F642" i="20"/>
  <c r="D642" i="20"/>
  <c r="D643" i="20" s="1"/>
  <c r="C643" i="24" l="1"/>
  <c r="D644" i="24"/>
  <c r="F831" i="15"/>
  <c r="F641" i="15"/>
  <c r="D641" i="15"/>
  <c r="D644" i="20"/>
  <c r="C643" i="20"/>
  <c r="F645" i="24" l="1"/>
  <c r="D645" i="24"/>
  <c r="F1203" i="15"/>
  <c r="F642" i="15"/>
  <c r="D642" i="15"/>
  <c r="D643" i="15" s="1"/>
  <c r="F826" i="15"/>
  <c r="D645" i="20"/>
  <c r="F645" i="20"/>
  <c r="F646" i="24" l="1"/>
  <c r="D646" i="24"/>
  <c r="C643" i="15"/>
  <c r="D644" i="15"/>
  <c r="F646" i="20"/>
  <c r="D646" i="20"/>
  <c r="F647" i="24" l="1"/>
  <c r="D647" i="24"/>
  <c r="F647" i="20"/>
  <c r="D647" i="20"/>
  <c r="D645" i="15"/>
  <c r="C644" i="15"/>
  <c r="F648" i="24" l="1"/>
  <c r="D648" i="24"/>
  <c r="F648" i="20"/>
  <c r="D648" i="20"/>
  <c r="F646" i="15"/>
  <c r="D646" i="15"/>
  <c r="F649" i="24" l="1"/>
  <c r="D649" i="24"/>
  <c r="F647" i="15"/>
  <c r="D647" i="15"/>
  <c r="F649" i="20"/>
  <c r="D649" i="20"/>
  <c r="F650" i="24" l="1"/>
  <c r="D650" i="24"/>
  <c r="F650" i="20"/>
  <c r="D650" i="20"/>
  <c r="D648" i="15"/>
  <c r="F648" i="15"/>
  <c r="F651" i="24" l="1"/>
  <c r="D651" i="24"/>
  <c r="F649" i="15"/>
  <c r="D649" i="15"/>
  <c r="F651" i="20"/>
  <c r="D651" i="20"/>
  <c r="F652" i="24" l="1"/>
  <c r="D652" i="24"/>
  <c r="F652" i="20"/>
  <c r="D652" i="20"/>
  <c r="F650" i="15"/>
  <c r="D650" i="15"/>
  <c r="F653" i="24" l="1"/>
  <c r="D653" i="24"/>
  <c r="D651" i="15"/>
  <c r="F651" i="15"/>
  <c r="F653" i="20"/>
  <c r="D653" i="20"/>
  <c r="F654" i="24" l="1"/>
  <c r="D654" i="24"/>
  <c r="F652" i="15"/>
  <c r="D652" i="15"/>
  <c r="F654" i="20"/>
  <c r="D654" i="20"/>
  <c r="F655" i="24" l="1"/>
  <c r="D655" i="24"/>
  <c r="F655" i="20"/>
  <c r="D655" i="20"/>
  <c r="F653" i="15"/>
  <c r="D653" i="15"/>
  <c r="F656" i="24" l="1"/>
  <c r="D656" i="24"/>
  <c r="F654" i="15"/>
  <c r="D654" i="15"/>
  <c r="F656" i="20"/>
  <c r="D656" i="20"/>
  <c r="D657" i="24" l="1"/>
  <c r="F657" i="24"/>
  <c r="D655" i="15"/>
  <c r="F655" i="15"/>
  <c r="F657" i="20"/>
  <c r="D657" i="20"/>
  <c r="D658" i="24" l="1"/>
  <c r="D659" i="24" s="1"/>
  <c r="F658" i="24"/>
  <c r="F658" i="20"/>
  <c r="D658" i="20"/>
  <c r="D659" i="20" s="1"/>
  <c r="F656" i="15"/>
  <c r="D656" i="15"/>
  <c r="C659" i="24" l="1"/>
  <c r="D660" i="24"/>
  <c r="F657" i="15"/>
  <c r="D657" i="15"/>
  <c r="C659" i="20"/>
  <c r="D660" i="20"/>
  <c r="F663" i="24" l="1"/>
  <c r="C660" i="24"/>
  <c r="D661" i="24"/>
  <c r="C660" i="20"/>
  <c r="D661" i="20"/>
  <c r="F663" i="20"/>
  <c r="D658" i="15"/>
  <c r="F658" i="15"/>
  <c r="F662" i="24" l="1"/>
  <c r="D662" i="24"/>
  <c r="D663" i="24" s="1"/>
  <c r="F659" i="15"/>
  <c r="D659" i="15"/>
  <c r="D660" i="15" s="1"/>
  <c r="D662" i="20"/>
  <c r="D663" i="20" s="1"/>
  <c r="F662" i="20"/>
  <c r="D664" i="24" l="1"/>
  <c r="C663" i="24"/>
  <c r="C663" i="20"/>
  <c r="D664" i="20"/>
  <c r="C660" i="15"/>
  <c r="D661" i="15"/>
  <c r="F665" i="24" l="1"/>
  <c r="D665" i="24"/>
  <c r="C661" i="15"/>
  <c r="D662" i="15"/>
  <c r="F664" i="15"/>
  <c r="F665" i="20"/>
  <c r="D665" i="20"/>
  <c r="D666" i="24" l="1"/>
  <c r="F666" i="24"/>
  <c r="F663" i="15"/>
  <c r="D663" i="15"/>
  <c r="D664" i="15" s="1"/>
  <c r="F666" i="20"/>
  <c r="D666" i="20"/>
  <c r="F667" i="24" l="1"/>
  <c r="D667" i="24"/>
  <c r="F665" i="15"/>
  <c r="C664" i="15"/>
  <c r="D665" i="15"/>
  <c r="D667" i="20"/>
  <c r="F667" i="20"/>
  <c r="D668" i="24" l="1"/>
  <c r="F668" i="24"/>
  <c r="F668" i="20"/>
  <c r="D668" i="20"/>
  <c r="F675" i="15"/>
  <c r="F666" i="15"/>
  <c r="D666" i="15"/>
  <c r="F669" i="24" l="1"/>
  <c r="D669" i="24"/>
  <c r="D670" i="24" s="1"/>
  <c r="F667" i="15"/>
  <c r="D667" i="15"/>
  <c r="F669" i="20"/>
  <c r="D669" i="20"/>
  <c r="D670" i="20" s="1"/>
  <c r="C670" i="24" l="1"/>
  <c r="D671" i="24"/>
  <c r="D671" i="20"/>
  <c r="C670" i="20"/>
  <c r="F668" i="15"/>
  <c r="D668" i="15"/>
  <c r="F672" i="24" l="1"/>
  <c r="D672" i="24"/>
  <c r="D673" i="24" s="1"/>
  <c r="F669" i="15"/>
  <c r="D669" i="15"/>
  <c r="D672" i="20"/>
  <c r="D673" i="20" s="1"/>
  <c r="F672" i="20"/>
  <c r="C673" i="24" l="1"/>
  <c r="D674" i="24"/>
  <c r="D674" i="20"/>
  <c r="C673" i="20"/>
  <c r="F670" i="15"/>
  <c r="D670" i="15"/>
  <c r="D671" i="15" s="1"/>
  <c r="F675" i="24" l="1"/>
  <c r="D675" i="24"/>
  <c r="D672" i="15"/>
  <c r="F672" i="15"/>
  <c r="C671" i="15"/>
  <c r="D675" i="20"/>
  <c r="F675" i="20"/>
  <c r="F676" i="24" l="1"/>
  <c r="D676" i="24"/>
  <c r="F676" i="20"/>
  <c r="D676" i="20"/>
  <c r="D673" i="15"/>
  <c r="D674" i="15" s="1"/>
  <c r="F673" i="15"/>
  <c r="F677" i="24" l="1"/>
  <c r="D677" i="24"/>
  <c r="D675" i="15"/>
  <c r="C674" i="15"/>
  <c r="F677" i="20"/>
  <c r="D677" i="20"/>
  <c r="F678" i="24" l="1"/>
  <c r="D678" i="24"/>
  <c r="F678" i="20"/>
  <c r="D678" i="20"/>
  <c r="F676" i="15"/>
  <c r="D676" i="15"/>
  <c r="D679" i="24" l="1"/>
  <c r="D680" i="24" s="1"/>
  <c r="F679" i="24"/>
  <c r="F677" i="15"/>
  <c r="D677" i="15"/>
  <c r="F679" i="20"/>
  <c r="D679" i="20"/>
  <c r="D680" i="20" s="1"/>
  <c r="C680" i="24" l="1"/>
  <c r="D681" i="24"/>
  <c r="C680" i="20"/>
  <c r="D681" i="20"/>
  <c r="F678" i="15"/>
  <c r="D678" i="15"/>
  <c r="C681" i="24" l="1"/>
  <c r="F685" i="24"/>
  <c r="D682" i="24"/>
  <c r="D679" i="15"/>
  <c r="F679" i="15"/>
  <c r="C681" i="20"/>
  <c r="F685" i="20"/>
  <c r="D682" i="20"/>
  <c r="D683" i="24" l="1"/>
  <c r="F683" i="24"/>
  <c r="F683" i="20"/>
  <c r="D683" i="20"/>
  <c r="D680" i="15"/>
  <c r="D681" i="15" s="1"/>
  <c r="F680" i="15"/>
  <c r="F684" i="24" l="1"/>
  <c r="D684" i="24"/>
  <c r="D685" i="24" s="1"/>
  <c r="D682" i="15"/>
  <c r="C681" i="15"/>
  <c r="D684" i="20"/>
  <c r="D685" i="20" s="1"/>
  <c r="F684" i="20"/>
  <c r="D686" i="24" l="1"/>
  <c r="F689" i="24"/>
  <c r="C685" i="24"/>
  <c r="F689" i="20"/>
  <c r="C685" i="20"/>
  <c r="D686" i="20"/>
  <c r="F683" i="15"/>
  <c r="C682" i="15"/>
  <c r="D683" i="15"/>
  <c r="F686" i="15"/>
  <c r="F687" i="24" l="1"/>
  <c r="D687" i="24"/>
  <c r="F687" i="20"/>
  <c r="D687" i="20"/>
  <c r="D684" i="15"/>
  <c r="F684" i="15"/>
  <c r="F688" i="24" l="1"/>
  <c r="D688" i="24"/>
  <c r="D689" i="24" s="1"/>
  <c r="F685" i="15"/>
  <c r="D685" i="15"/>
  <c r="D686" i="15" s="1"/>
  <c r="F688" i="20"/>
  <c r="D688" i="20"/>
  <c r="D689" i="20" s="1"/>
  <c r="F693" i="24" l="1"/>
  <c r="C689" i="24"/>
  <c r="D690" i="24"/>
  <c r="F693" i="20"/>
  <c r="C689" i="20"/>
  <c r="D690" i="20"/>
  <c r="F690" i="15"/>
  <c r="F687" i="15"/>
  <c r="C686" i="15"/>
  <c r="D687" i="15"/>
  <c r="F691" i="24" l="1"/>
  <c r="D691" i="24"/>
  <c r="F691" i="20"/>
  <c r="D691" i="20"/>
  <c r="F688" i="15"/>
  <c r="D688" i="15"/>
  <c r="F692" i="24" l="1"/>
  <c r="D692" i="24"/>
  <c r="D693" i="24" s="1"/>
  <c r="D689" i="15"/>
  <c r="D690" i="15" s="1"/>
  <c r="F689" i="15"/>
  <c r="D692" i="20"/>
  <c r="D693" i="20" s="1"/>
  <c r="F692" i="20"/>
  <c r="F697" i="24" l="1"/>
  <c r="C693" i="24"/>
  <c r="D694" i="24"/>
  <c r="C693" i="20"/>
  <c r="D694" i="20"/>
  <c r="F697" i="20"/>
  <c r="F694" i="15"/>
  <c r="F691" i="15"/>
  <c r="C690" i="15"/>
  <c r="D691" i="15"/>
  <c r="F695" i="24" l="1"/>
  <c r="D695" i="24"/>
  <c r="F692" i="15"/>
  <c r="D692" i="15"/>
  <c r="D695" i="20"/>
  <c r="F695" i="20"/>
  <c r="D696" i="24" l="1"/>
  <c r="D697" i="24" s="1"/>
  <c r="F696" i="24"/>
  <c r="F696" i="20"/>
  <c r="D696" i="20"/>
  <c r="D697" i="20" s="1"/>
  <c r="F693" i="15"/>
  <c r="D693" i="15"/>
  <c r="D694" i="15" s="1"/>
  <c r="D698" i="24" l="1"/>
  <c r="F701" i="24"/>
  <c r="C697" i="24"/>
  <c r="F695" i="15"/>
  <c r="C694" i="15"/>
  <c r="F698" i="15"/>
  <c r="D695" i="15"/>
  <c r="F701" i="20"/>
  <c r="C697" i="20"/>
  <c r="D698" i="20"/>
  <c r="F699" i="24" l="1"/>
  <c r="D699" i="24"/>
  <c r="D699" i="20"/>
  <c r="F699" i="20"/>
  <c r="F696" i="15"/>
  <c r="D696" i="15"/>
  <c r="F700" i="24" l="1"/>
  <c r="D700" i="24"/>
  <c r="D701" i="24" s="1"/>
  <c r="F697" i="15"/>
  <c r="D697" i="15"/>
  <c r="D698" i="15" s="1"/>
  <c r="D700" i="20"/>
  <c r="D701" i="20" s="1"/>
  <c r="F700" i="20"/>
  <c r="F705" i="24" l="1"/>
  <c r="C701" i="24"/>
  <c r="D702" i="24"/>
  <c r="D702" i="20"/>
  <c r="F705" i="20"/>
  <c r="C701" i="20"/>
  <c r="F702" i="15"/>
  <c r="F699" i="15"/>
  <c r="C698" i="15"/>
  <c r="D699" i="15"/>
  <c r="F703" i="24" l="1"/>
  <c r="D703" i="24"/>
  <c r="D700" i="15"/>
  <c r="F700" i="15"/>
  <c r="F703" i="20"/>
  <c r="D703" i="20"/>
  <c r="F704" i="24" l="1"/>
  <c r="D704" i="24"/>
  <c r="D705" i="24" s="1"/>
  <c r="F704" i="20"/>
  <c r="D704" i="20"/>
  <c r="D705" i="20" s="1"/>
  <c r="F701" i="15"/>
  <c r="D701" i="15"/>
  <c r="D702" i="15" s="1"/>
  <c r="F709" i="24" l="1"/>
  <c r="C705" i="24"/>
  <c r="D706" i="24"/>
  <c r="F706" i="15"/>
  <c r="D703" i="15"/>
  <c r="F703" i="15"/>
  <c r="C702" i="15"/>
  <c r="C705" i="20"/>
  <c r="D706" i="20"/>
  <c r="F709" i="20"/>
  <c r="F707" i="24" l="1"/>
  <c r="D707" i="24"/>
  <c r="F704" i="15"/>
  <c r="D704" i="15"/>
  <c r="D707" i="20"/>
  <c r="F707" i="20"/>
  <c r="D708" i="24" l="1"/>
  <c r="D709" i="24" s="1"/>
  <c r="F708" i="24"/>
  <c r="F708" i="20"/>
  <c r="D708" i="20"/>
  <c r="D709" i="20" s="1"/>
  <c r="F705" i="15"/>
  <c r="D705" i="15"/>
  <c r="D706" i="15" s="1"/>
  <c r="F713" i="24" l="1"/>
  <c r="D710" i="24"/>
  <c r="C709" i="24"/>
  <c r="F707" i="15"/>
  <c r="C706" i="15"/>
  <c r="F710" i="15"/>
  <c r="D707" i="15"/>
  <c r="C709" i="20"/>
  <c r="F713" i="20"/>
  <c r="D710" i="20"/>
  <c r="F711" i="24" l="1"/>
  <c r="D711" i="24"/>
  <c r="D711" i="20"/>
  <c r="F711" i="20"/>
  <c r="F708" i="15"/>
  <c r="D708" i="15"/>
  <c r="F712" i="24" l="1"/>
  <c r="D712" i="24"/>
  <c r="D713" i="24" s="1"/>
  <c r="F709" i="15"/>
  <c r="D709" i="15"/>
  <c r="D710" i="15" s="1"/>
  <c r="F712" i="20"/>
  <c r="D712" i="20"/>
  <c r="D713" i="20" s="1"/>
  <c r="F717" i="24" l="1"/>
  <c r="C713" i="24"/>
  <c r="D714" i="24"/>
  <c r="C713" i="20"/>
  <c r="D714" i="20"/>
  <c r="F717" i="20"/>
  <c r="F711" i="15"/>
  <c r="C710" i="15"/>
  <c r="F714" i="15"/>
  <c r="D711" i="15"/>
  <c r="F715" i="24" l="1"/>
  <c r="D715" i="24"/>
  <c r="F712" i="15"/>
  <c r="D712" i="15"/>
  <c r="F715" i="20"/>
  <c r="D715" i="20"/>
  <c r="F716" i="24" l="1"/>
  <c r="D716" i="24"/>
  <c r="D717" i="24" s="1"/>
  <c r="D716" i="20"/>
  <c r="D717" i="20" s="1"/>
  <c r="F716" i="20"/>
  <c r="D713" i="15"/>
  <c r="D714" i="15" s="1"/>
  <c r="F713" i="15"/>
  <c r="D718" i="24" l="1"/>
  <c r="F721" i="24"/>
  <c r="C717" i="24"/>
  <c r="F715" i="15"/>
  <c r="C714" i="15"/>
  <c r="D715" i="15"/>
  <c r="F718" i="15"/>
  <c r="F721" i="20"/>
  <c r="C717" i="20"/>
  <c r="D718" i="20"/>
  <c r="F719" i="24" l="1"/>
  <c r="D719" i="24"/>
  <c r="F719" i="20"/>
  <c r="D719" i="20"/>
  <c r="D716" i="15"/>
  <c r="F716" i="15"/>
  <c r="F720" i="24" l="1"/>
  <c r="D720" i="24"/>
  <c r="D721" i="24" s="1"/>
  <c r="F717" i="15"/>
  <c r="D717" i="15"/>
  <c r="D718" i="15" s="1"/>
  <c r="F720" i="20"/>
  <c r="D720" i="20"/>
  <c r="D721" i="20" s="1"/>
  <c r="F725" i="24" l="1"/>
  <c r="C721" i="24"/>
  <c r="D722" i="24"/>
  <c r="F725" i="20"/>
  <c r="C721" i="20"/>
  <c r="D722" i="20"/>
  <c r="F722" i="15"/>
  <c r="F719" i="15"/>
  <c r="C718" i="15"/>
  <c r="D719" i="15"/>
  <c r="F723" i="24" l="1"/>
  <c r="D723" i="24"/>
  <c r="F723" i="20"/>
  <c r="D723" i="20"/>
  <c r="F720" i="15"/>
  <c r="D720" i="15"/>
  <c r="F724" i="24" l="1"/>
  <c r="D724" i="24"/>
  <c r="D725" i="24" s="1"/>
  <c r="D721" i="15"/>
  <c r="D722" i="15" s="1"/>
  <c r="F721" i="15"/>
  <c r="D724" i="20"/>
  <c r="D725" i="20" s="1"/>
  <c r="F724" i="20"/>
  <c r="F729" i="24" l="1"/>
  <c r="C725" i="24"/>
  <c r="D726" i="24"/>
  <c r="C725" i="20"/>
  <c r="D726" i="20"/>
  <c r="F729" i="20"/>
  <c r="F726" i="15"/>
  <c r="F723" i="15"/>
  <c r="C722" i="15"/>
  <c r="D723" i="15"/>
  <c r="F727" i="24" l="1"/>
  <c r="D727" i="24"/>
  <c r="F724" i="15"/>
  <c r="D724" i="15"/>
  <c r="D727" i="20"/>
  <c r="F727" i="20"/>
  <c r="D728" i="24" l="1"/>
  <c r="D729" i="24" s="1"/>
  <c r="F728" i="24"/>
  <c r="F728" i="20"/>
  <c r="D728" i="20"/>
  <c r="D729" i="20" s="1"/>
  <c r="F725" i="15"/>
  <c r="D725" i="15"/>
  <c r="D726" i="15" s="1"/>
  <c r="D730" i="24" l="1"/>
  <c r="F733" i="24"/>
  <c r="C729" i="24"/>
  <c r="F727" i="15"/>
  <c r="C726" i="15"/>
  <c r="F730" i="15"/>
  <c r="D727" i="15"/>
  <c r="F733" i="20"/>
  <c r="C729" i="20"/>
  <c r="D730" i="20"/>
  <c r="F731" i="24" l="1"/>
  <c r="D731" i="24"/>
  <c r="F728" i="15"/>
  <c r="D728" i="15"/>
  <c r="D731" i="20"/>
  <c r="F731" i="20"/>
  <c r="F732" i="24" l="1"/>
  <c r="D732" i="24"/>
  <c r="D733" i="24" s="1"/>
  <c r="D732" i="20"/>
  <c r="D733" i="20" s="1"/>
  <c r="F732" i="20"/>
  <c r="F729" i="15"/>
  <c r="D729" i="15"/>
  <c r="D730" i="15" s="1"/>
  <c r="C733" i="24" l="1"/>
  <c r="D734" i="24"/>
  <c r="F737" i="24"/>
  <c r="F734" i="15"/>
  <c r="F731" i="15"/>
  <c r="C730" i="15"/>
  <c r="D731" i="15"/>
  <c r="D734" i="20"/>
  <c r="F737" i="20"/>
  <c r="C733" i="20"/>
  <c r="D735" i="24" l="1"/>
  <c r="F735" i="24"/>
  <c r="F735" i="20"/>
  <c r="D735" i="20"/>
  <c r="D732" i="15"/>
  <c r="F732" i="15"/>
  <c r="F736" i="24" l="1"/>
  <c r="D736" i="24"/>
  <c r="D737" i="24" s="1"/>
  <c r="F733" i="15"/>
  <c r="D733" i="15"/>
  <c r="D734" i="15" s="1"/>
  <c r="F736" i="20"/>
  <c r="D736" i="20"/>
  <c r="D737" i="20" s="1"/>
  <c r="F741" i="24" l="1"/>
  <c r="C737" i="24"/>
  <c r="D738" i="24"/>
  <c r="C737" i="20"/>
  <c r="D738" i="20"/>
  <c r="F741" i="20"/>
  <c r="F738" i="15"/>
  <c r="D735" i="15"/>
  <c r="F735" i="15"/>
  <c r="C734" i="15"/>
  <c r="F739" i="24" l="1"/>
  <c r="D739" i="24"/>
  <c r="D739" i="20"/>
  <c r="F739" i="20"/>
  <c r="F736" i="15"/>
  <c r="D736" i="15"/>
  <c r="D740" i="24" l="1"/>
  <c r="D741" i="24" s="1"/>
  <c r="F740" i="24"/>
  <c r="F737" i="15"/>
  <c r="D737" i="15"/>
  <c r="D738" i="15" s="1"/>
  <c r="F740" i="20"/>
  <c r="D740" i="20"/>
  <c r="D741" i="20" s="1"/>
  <c r="C741" i="24" l="1"/>
  <c r="D742" i="24"/>
  <c r="C741" i="20"/>
  <c r="D742" i="20"/>
  <c r="F739" i="15"/>
  <c r="C738" i="15"/>
  <c r="F742" i="15"/>
  <c r="D739" i="15"/>
  <c r="F743" i="24" l="1"/>
  <c r="D743" i="24"/>
  <c r="F740" i="15"/>
  <c r="D740" i="15"/>
  <c r="D743" i="20"/>
  <c r="F743" i="20"/>
  <c r="F744" i="24" l="1"/>
  <c r="D744" i="24"/>
  <c r="D745" i="24" s="1"/>
  <c r="F744" i="20"/>
  <c r="D744" i="20"/>
  <c r="D745" i="20" s="1"/>
  <c r="F741" i="15"/>
  <c r="D741" i="15"/>
  <c r="D742" i="15" s="1"/>
  <c r="F746" i="24" l="1"/>
  <c r="C745" i="24"/>
  <c r="D746" i="24"/>
  <c r="F746" i="20"/>
  <c r="C745" i="20"/>
  <c r="D746" i="20"/>
  <c r="F743" i="15"/>
  <c r="C742" i="15"/>
  <c r="F746" i="15"/>
  <c r="D743" i="15"/>
  <c r="D747" i="24" l="1"/>
  <c r="F751" i="24"/>
  <c r="C746" i="24"/>
  <c r="F751" i="20"/>
  <c r="C746" i="20"/>
  <c r="D747" i="20"/>
  <c r="F744" i="15"/>
  <c r="D744" i="15"/>
  <c r="D748" i="24" l="1"/>
  <c r="F748" i="24"/>
  <c r="F748" i="20"/>
  <c r="D748" i="20"/>
  <c r="D745" i="15"/>
  <c r="D746" i="15" s="1"/>
  <c r="F745" i="15"/>
  <c r="F749" i="24" l="1"/>
  <c r="D749" i="24"/>
  <c r="D747" i="15"/>
  <c r="C746" i="15"/>
  <c r="F747" i="15"/>
  <c r="F749" i="20"/>
  <c r="D749" i="20"/>
  <c r="F750" i="24" l="1"/>
  <c r="D750" i="24"/>
  <c r="D751" i="24" s="1"/>
  <c r="F750" i="20"/>
  <c r="D750" i="20"/>
  <c r="D751" i="20" s="1"/>
  <c r="F752" i="15"/>
  <c r="F748" i="15"/>
  <c r="C747" i="15"/>
  <c r="D748" i="15"/>
  <c r="C751" i="24" l="1"/>
  <c r="F756" i="24"/>
  <c r="D752" i="24"/>
  <c r="C751" i="20"/>
  <c r="F756" i="20"/>
  <c r="D752" i="20"/>
  <c r="F749" i="15"/>
  <c r="D749" i="15"/>
  <c r="F753" i="24" l="1"/>
  <c r="D753" i="24"/>
  <c r="F750" i="15"/>
  <c r="D750" i="15"/>
  <c r="F753" i="20"/>
  <c r="D753" i="20"/>
  <c r="F754" i="24" l="1"/>
  <c r="D754" i="24"/>
  <c r="D754" i="20"/>
  <c r="F754" i="20"/>
  <c r="F751" i="15"/>
  <c r="D751" i="15"/>
  <c r="D752" i="15" s="1"/>
  <c r="F755" i="24" l="1"/>
  <c r="D755" i="24"/>
  <c r="D756" i="24" s="1"/>
  <c r="F755" i="20"/>
  <c r="D755" i="20"/>
  <c r="D756" i="20" s="1"/>
  <c r="F757" i="15"/>
  <c r="F753" i="15"/>
  <c r="C752" i="15"/>
  <c r="D753" i="15"/>
  <c r="C756" i="24" l="1"/>
  <c r="D757" i="24"/>
  <c r="F761" i="24"/>
  <c r="F754" i="15"/>
  <c r="D754" i="15"/>
  <c r="D757" i="20"/>
  <c r="F761" i="20"/>
  <c r="C756" i="20"/>
  <c r="F758" i="24" l="1"/>
  <c r="D758" i="24"/>
  <c r="D758" i="20"/>
  <c r="F758" i="20"/>
  <c r="F755" i="15"/>
  <c r="D755" i="15"/>
  <c r="F759" i="24" l="1"/>
  <c r="D759" i="24"/>
  <c r="F759" i="20"/>
  <c r="D759" i="20"/>
  <c r="F756" i="15"/>
  <c r="D756" i="15"/>
  <c r="D757" i="15" s="1"/>
  <c r="F760" i="24" l="1"/>
  <c r="D760" i="24"/>
  <c r="D761" i="24" s="1"/>
  <c r="F760" i="20"/>
  <c r="D760" i="20"/>
  <c r="D761" i="20" s="1"/>
  <c r="F758" i="15"/>
  <c r="C757" i="15"/>
  <c r="F762" i="15"/>
  <c r="D758" i="15"/>
  <c r="C761" i="24" l="1"/>
  <c r="D762" i="24"/>
  <c r="F776" i="24"/>
  <c r="F759" i="15"/>
  <c r="D759" i="15"/>
  <c r="D762" i="20"/>
  <c r="F776" i="20"/>
  <c r="C761" i="20"/>
  <c r="F763" i="24" l="1"/>
  <c r="D763" i="24"/>
  <c r="D763" i="20"/>
  <c r="F763" i="20"/>
  <c r="D760" i="15"/>
  <c r="F760" i="15"/>
  <c r="D764" i="24" l="1"/>
  <c r="F764" i="24"/>
  <c r="D761" i="15"/>
  <c r="D762" i="15" s="1"/>
  <c r="F761" i="15"/>
  <c r="F764" i="20"/>
  <c r="D764" i="20"/>
  <c r="F765" i="24" l="1"/>
  <c r="D765" i="24"/>
  <c r="F765" i="20"/>
  <c r="D765" i="20"/>
  <c r="D763" i="15"/>
  <c r="F777" i="15"/>
  <c r="F763" i="15"/>
  <c r="C762" i="15"/>
  <c r="D766" i="24" l="1"/>
  <c r="F766" i="24"/>
  <c r="D764" i="15"/>
  <c r="F764" i="15"/>
  <c r="F766" i="20"/>
  <c r="D766" i="20"/>
  <c r="F767" i="24" l="1"/>
  <c r="D767" i="24"/>
  <c r="D765" i="15"/>
  <c r="F765" i="15"/>
  <c r="F767" i="20"/>
  <c r="D767" i="20"/>
  <c r="D768" i="24" l="1"/>
  <c r="F768" i="24"/>
  <c r="F766" i="15"/>
  <c r="D766" i="15"/>
  <c r="F768" i="20"/>
  <c r="D768" i="20"/>
  <c r="F769" i="24" l="1"/>
  <c r="D769" i="24"/>
  <c r="F769" i="20"/>
  <c r="D769" i="20"/>
  <c r="F767" i="15"/>
  <c r="D767" i="15"/>
  <c r="D770" i="24" l="1"/>
  <c r="F770" i="24"/>
  <c r="F768" i="15"/>
  <c r="D768" i="15"/>
  <c r="F770" i="20"/>
  <c r="D770" i="20"/>
  <c r="F771" i="24" l="1"/>
  <c r="D771" i="24"/>
  <c r="F771" i="20"/>
  <c r="D771" i="20"/>
  <c r="D769" i="15"/>
  <c r="F769" i="15"/>
  <c r="D772" i="24" l="1"/>
  <c r="F772" i="24"/>
  <c r="F770" i="15"/>
  <c r="D770" i="15"/>
  <c r="F772" i="20"/>
  <c r="D772" i="20"/>
  <c r="F773" i="24" l="1"/>
  <c r="D773" i="24"/>
  <c r="F773" i="20"/>
  <c r="D773" i="20"/>
  <c r="F771" i="15"/>
  <c r="D771" i="15"/>
  <c r="D774" i="24" l="1"/>
  <c r="F774" i="24"/>
  <c r="F772" i="15"/>
  <c r="D772" i="15"/>
  <c r="F774" i="20"/>
  <c r="D774" i="20"/>
  <c r="F775" i="24" l="1"/>
  <c r="D775" i="24"/>
  <c r="D776" i="24" s="1"/>
  <c r="F775" i="20"/>
  <c r="D775" i="20"/>
  <c r="D776" i="20" s="1"/>
  <c r="D773" i="15"/>
  <c r="F773" i="15"/>
  <c r="C776" i="24" l="1"/>
  <c r="F781" i="24"/>
  <c r="D777" i="24"/>
  <c r="F774" i="15"/>
  <c r="D774" i="15"/>
  <c r="F781" i="20"/>
  <c r="D777" i="20"/>
  <c r="C776" i="20"/>
  <c r="F778" i="24" l="1"/>
  <c r="D778" i="24"/>
  <c r="D778" i="20"/>
  <c r="F778" i="20"/>
  <c r="F775" i="15"/>
  <c r="D775" i="15"/>
  <c r="F779" i="24" l="1"/>
  <c r="D779" i="24"/>
  <c r="F776" i="15"/>
  <c r="D776" i="15"/>
  <c r="D777" i="15" s="1"/>
  <c r="F779" i="20"/>
  <c r="D779" i="20"/>
  <c r="F780" i="24" l="1"/>
  <c r="D780" i="24"/>
  <c r="D781" i="24" s="1"/>
  <c r="D780" i="20"/>
  <c r="D781" i="20" s="1"/>
  <c r="F780" i="20"/>
  <c r="F782" i="15"/>
  <c r="F778" i="15"/>
  <c r="C777" i="15"/>
  <c r="D778" i="15"/>
  <c r="F786" i="24" l="1"/>
  <c r="D782" i="24"/>
  <c r="C781" i="24"/>
  <c r="F779" i="15"/>
  <c r="D779" i="15"/>
  <c r="C781" i="20"/>
  <c r="F786" i="20"/>
  <c r="D782" i="20"/>
  <c r="D783" i="24" l="1"/>
  <c r="F783" i="24"/>
  <c r="D780" i="15"/>
  <c r="F780" i="15"/>
  <c r="F783" i="20"/>
  <c r="D783" i="20"/>
  <c r="F784" i="24" l="1"/>
  <c r="D784" i="24"/>
  <c r="F784" i="20"/>
  <c r="D784" i="20"/>
  <c r="F781" i="15"/>
  <c r="D781" i="15"/>
  <c r="D782" i="15" s="1"/>
  <c r="D785" i="24" l="1"/>
  <c r="D786" i="24" s="1"/>
  <c r="F785" i="24"/>
  <c r="F787" i="15"/>
  <c r="F783" i="15"/>
  <c r="C782" i="15"/>
  <c r="D783" i="15"/>
  <c r="F785" i="20"/>
  <c r="D785" i="20"/>
  <c r="D786" i="20" s="1"/>
  <c r="F789" i="24" l="1"/>
  <c r="D787" i="24"/>
  <c r="C786" i="24"/>
  <c r="F784" i="15"/>
  <c r="D784" i="15"/>
  <c r="F789" i="20"/>
  <c r="C786" i="20"/>
  <c r="D787" i="20"/>
  <c r="F788" i="24" l="1"/>
  <c r="D788" i="24"/>
  <c r="D789" i="24" s="1"/>
  <c r="F788" i="20"/>
  <c r="D788" i="20"/>
  <c r="D789" i="20" s="1"/>
  <c r="F785" i="15"/>
  <c r="D785" i="15"/>
  <c r="C789" i="24" l="1"/>
  <c r="D790" i="24"/>
  <c r="F786" i="15"/>
  <c r="D786" i="15"/>
  <c r="D787" i="15" s="1"/>
  <c r="D790" i="20"/>
  <c r="C789" i="20"/>
  <c r="D791" i="24" l="1"/>
  <c r="F791" i="24"/>
  <c r="F788" i="15"/>
  <c r="C787" i="15"/>
  <c r="F790" i="15"/>
  <c r="D788" i="15"/>
  <c r="F791" i="20"/>
  <c r="D791" i="20"/>
  <c r="F792" i="24" l="1"/>
  <c r="D792" i="24"/>
  <c r="D789" i="15"/>
  <c r="D790" i="15" s="1"/>
  <c r="F789" i="15"/>
  <c r="F792" i="20"/>
  <c r="D792" i="20"/>
  <c r="D793" i="24" l="1"/>
  <c r="D794" i="24" s="1"/>
  <c r="F793" i="24"/>
  <c r="D791" i="15"/>
  <c r="F791" i="15"/>
  <c r="C790" i="15"/>
  <c r="F793" i="20"/>
  <c r="D793" i="20"/>
  <c r="D794" i="20" s="1"/>
  <c r="F795" i="24" l="1"/>
  <c r="D795" i="24"/>
  <c r="C794" i="24"/>
  <c r="F792" i="15"/>
  <c r="D792" i="15"/>
  <c r="F795" i="20"/>
  <c r="C794" i="20"/>
  <c r="D795" i="20"/>
  <c r="F796" i="24" l="1"/>
  <c r="C795" i="24"/>
  <c r="D796" i="24"/>
  <c r="F799" i="24"/>
  <c r="F793" i="15"/>
  <c r="D793" i="15"/>
  <c r="D796" i="20"/>
  <c r="F799" i="20"/>
  <c r="F796" i="20"/>
  <c r="C795" i="20"/>
  <c r="F797" i="24" l="1"/>
  <c r="D797" i="24"/>
  <c r="F797" i="20"/>
  <c r="D797" i="20"/>
  <c r="F794" i="15"/>
  <c r="D794" i="15"/>
  <c r="F798" i="24" l="1"/>
  <c r="D798" i="24"/>
  <c r="D799" i="24" s="1"/>
  <c r="F795" i="15"/>
  <c r="D795" i="15"/>
  <c r="F798" i="20"/>
  <c r="D798" i="20"/>
  <c r="D799" i="20" s="1"/>
  <c r="C799" i="24" l="1"/>
  <c r="D800" i="24"/>
  <c r="F802" i="24"/>
  <c r="C799" i="20"/>
  <c r="F802" i="20"/>
  <c r="D800" i="20"/>
  <c r="D796" i="15"/>
  <c r="C795" i="15"/>
  <c r="F796" i="15"/>
  <c r="F801" i="24" l="1"/>
  <c r="D801" i="24"/>
  <c r="D802" i="24" s="1"/>
  <c r="F797" i="15"/>
  <c r="C796" i="15"/>
  <c r="D797" i="15"/>
  <c r="F800" i="15"/>
  <c r="D801" i="20"/>
  <c r="D802" i="20" s="1"/>
  <c r="F801" i="20"/>
  <c r="C802" i="24" l="1"/>
  <c r="D803" i="24"/>
  <c r="D804" i="24" s="1"/>
  <c r="F804" i="24"/>
  <c r="D803" i="20"/>
  <c r="D804" i="20" s="1"/>
  <c r="F804" i="20"/>
  <c r="C802" i="20"/>
  <c r="F798" i="15"/>
  <c r="D798" i="15"/>
  <c r="F807" i="24" l="1"/>
  <c r="C804" i="24"/>
  <c r="D805" i="24"/>
  <c r="F799" i="15"/>
  <c r="D799" i="15"/>
  <c r="D800" i="15" s="1"/>
  <c r="F807" i="20"/>
  <c r="C804" i="20"/>
  <c r="D805" i="20"/>
  <c r="F806" i="24" l="1"/>
  <c r="D806" i="24"/>
  <c r="D807" i="24" s="1"/>
  <c r="F801" i="15"/>
  <c r="C800" i="15"/>
  <c r="D801" i="15"/>
  <c r="F803" i="15"/>
  <c r="F806" i="20"/>
  <c r="D806" i="20"/>
  <c r="D807" i="20" s="1"/>
  <c r="D808" i="24" l="1"/>
  <c r="F813" i="24"/>
  <c r="C807" i="24"/>
  <c r="F802" i="15"/>
  <c r="D802" i="15"/>
  <c r="D803" i="15" s="1"/>
  <c r="F813" i="20"/>
  <c r="C807" i="20"/>
  <c r="D808" i="20"/>
  <c r="F809" i="24" l="1"/>
  <c r="D809" i="24"/>
  <c r="F809" i="20"/>
  <c r="D809" i="20"/>
  <c r="F805" i="15"/>
  <c r="F804" i="15"/>
  <c r="C803" i="15"/>
  <c r="D804" i="15"/>
  <c r="D805" i="15" s="1"/>
  <c r="F810" i="24" l="1"/>
  <c r="D810" i="24"/>
  <c r="F806" i="15"/>
  <c r="C805" i="15"/>
  <c r="F808" i="15"/>
  <c r="D806" i="15"/>
  <c r="F810" i="20"/>
  <c r="D810" i="20"/>
  <c r="F811" i="24" l="1"/>
  <c r="D811" i="24"/>
  <c r="F807" i="15"/>
  <c r="D807" i="15"/>
  <c r="D808" i="15" s="1"/>
  <c r="D811" i="20"/>
  <c r="F811" i="20"/>
  <c r="D812" i="24" l="1"/>
  <c r="D813" i="24" s="1"/>
  <c r="F812" i="24"/>
  <c r="F812" i="20"/>
  <c r="D812" i="20"/>
  <c r="D813" i="20" s="1"/>
  <c r="F809" i="15"/>
  <c r="C808" i="15"/>
  <c r="D809" i="15"/>
  <c r="F814" i="15"/>
  <c r="F817" i="24" l="1"/>
  <c r="D814" i="24"/>
  <c r="C813" i="24"/>
  <c r="C813" i="20"/>
  <c r="F817" i="20"/>
  <c r="D814" i="20"/>
  <c r="F810" i="15"/>
  <c r="D810" i="15"/>
  <c r="D815" i="24" l="1"/>
  <c r="F815" i="24"/>
  <c r="F811" i="15"/>
  <c r="D811" i="15"/>
  <c r="F815" i="20"/>
  <c r="D815" i="20"/>
  <c r="F816" i="24" l="1"/>
  <c r="D816" i="24"/>
  <c r="D817" i="24" s="1"/>
  <c r="F816" i="20"/>
  <c r="D816" i="20"/>
  <c r="D817" i="20" s="1"/>
  <c r="F812" i="15"/>
  <c r="D812" i="15"/>
  <c r="F820" i="24" l="1"/>
  <c r="D818" i="24"/>
  <c r="C817" i="24"/>
  <c r="F813" i="15"/>
  <c r="D813" i="15"/>
  <c r="D814" i="15" s="1"/>
  <c r="F820" i="20"/>
  <c r="C817" i="20"/>
  <c r="D818" i="20"/>
  <c r="F819" i="24" l="1"/>
  <c r="D819" i="24"/>
  <c r="D820" i="24" s="1"/>
  <c r="F818" i="15"/>
  <c r="F815" i="15"/>
  <c r="C814" i="15"/>
  <c r="D815" i="15"/>
  <c r="F819" i="20"/>
  <c r="D819" i="20"/>
  <c r="D820" i="20" s="1"/>
  <c r="F822" i="24" l="1"/>
  <c r="F821" i="24"/>
  <c r="C820" i="24"/>
  <c r="D821" i="24"/>
  <c r="D822" i="24" s="1"/>
  <c r="F816" i="15"/>
  <c r="D816" i="15"/>
  <c r="D821" i="20"/>
  <c r="D822" i="20" s="1"/>
  <c r="F822" i="20"/>
  <c r="F821" i="20"/>
  <c r="C820" i="20"/>
  <c r="C822" i="24" l="1"/>
  <c r="D823" i="24"/>
  <c r="D823" i="20"/>
  <c r="C822" i="20"/>
  <c r="F817" i="15"/>
  <c r="D817" i="15"/>
  <c r="D818" i="15" s="1"/>
  <c r="F824" i="24" l="1"/>
  <c r="D824" i="24"/>
  <c r="D825" i="24" s="1"/>
  <c r="F819" i="15"/>
  <c r="C818" i="15"/>
  <c r="F821" i="15"/>
  <c r="D819" i="15"/>
  <c r="D824" i="20"/>
  <c r="D825" i="20" s="1"/>
  <c r="F824" i="20"/>
  <c r="C825" i="24" l="1"/>
  <c r="D826" i="24"/>
  <c r="C825" i="20"/>
  <c r="D826" i="20"/>
  <c r="F820" i="15"/>
  <c r="D820" i="15"/>
  <c r="D821" i="15" s="1"/>
  <c r="D827" i="24" l="1"/>
  <c r="F827" i="24"/>
  <c r="F823" i="15"/>
  <c r="F822" i="15"/>
  <c r="C821" i="15"/>
  <c r="D822" i="15"/>
  <c r="D823" i="15" s="1"/>
  <c r="F827" i="20"/>
  <c r="D827" i="20"/>
  <c r="D828" i="24" l="1"/>
  <c r="F828" i="24"/>
  <c r="F824" i="15"/>
  <c r="C823" i="15"/>
  <c r="D824" i="15"/>
  <c r="F828" i="20"/>
  <c r="D828" i="20"/>
  <c r="D829" i="24" l="1"/>
  <c r="D830" i="24" s="1"/>
  <c r="F829" i="24"/>
  <c r="F825" i="15"/>
  <c r="D825" i="15"/>
  <c r="D826" i="15" s="1"/>
  <c r="F829" i="20"/>
  <c r="D829" i="20"/>
  <c r="D830" i="20" s="1"/>
  <c r="C830" i="24" l="1"/>
  <c r="D831" i="24"/>
  <c r="D831" i="20"/>
  <c r="C830" i="20"/>
  <c r="F827" i="15"/>
  <c r="C826" i="15"/>
  <c r="D827" i="15"/>
  <c r="D832" i="24" l="1"/>
  <c r="F832" i="24"/>
  <c r="F828" i="15"/>
  <c r="D828" i="15"/>
  <c r="F832" i="20"/>
  <c r="D832" i="20"/>
  <c r="D833" i="24" l="1"/>
  <c r="F833" i="24"/>
  <c r="F833" i="20"/>
  <c r="D833" i="20"/>
  <c r="D829" i="15"/>
  <c r="F829" i="15"/>
  <c r="F834" i="24" l="1"/>
  <c r="D834" i="24"/>
  <c r="D835" i="24" s="1"/>
  <c r="F830" i="15"/>
  <c r="D830" i="15"/>
  <c r="D831" i="15" s="1"/>
  <c r="F834" i="20"/>
  <c r="D834" i="20"/>
  <c r="D835" i="20" s="1"/>
  <c r="D836" i="24" l="1"/>
  <c r="C835" i="24"/>
  <c r="C835" i="20"/>
  <c r="D836" i="20"/>
  <c r="F832" i="15"/>
  <c r="C831" i="15"/>
  <c r="D832" i="15"/>
  <c r="F837" i="24" l="1"/>
  <c r="D837" i="24"/>
  <c r="F833" i="15"/>
  <c r="D833" i="15"/>
  <c r="F837" i="20"/>
  <c r="D837" i="20"/>
  <c r="F838" i="24" l="1"/>
  <c r="D838" i="24"/>
  <c r="F838" i="20"/>
  <c r="D838" i="20"/>
  <c r="F834" i="15"/>
  <c r="D834" i="15"/>
  <c r="F839" i="24" l="1"/>
  <c r="D839" i="24"/>
  <c r="D839" i="20"/>
  <c r="F839" i="20"/>
  <c r="D835" i="15"/>
  <c r="D836" i="15" s="1"/>
  <c r="F835" i="15"/>
  <c r="F840" i="24" l="1"/>
  <c r="D840" i="24"/>
  <c r="F837" i="15"/>
  <c r="C836" i="15"/>
  <c r="D837" i="15"/>
  <c r="F840" i="20"/>
  <c r="D840" i="20"/>
  <c r="F841" i="24" l="1"/>
  <c r="D841" i="24"/>
  <c r="D842" i="24" s="1"/>
  <c r="F838" i="15"/>
  <c r="D838" i="15"/>
  <c r="D841" i="20"/>
  <c r="D842" i="20" s="1"/>
  <c r="F841" i="20"/>
  <c r="C842" i="24" l="1"/>
  <c r="D843" i="24"/>
  <c r="C842" i="20"/>
  <c r="D843" i="20"/>
  <c r="F839" i="15"/>
  <c r="D839" i="15"/>
  <c r="D844" i="24" l="1"/>
  <c r="F844" i="24"/>
  <c r="F844" i="20"/>
  <c r="D844" i="20"/>
  <c r="D840" i="15"/>
  <c r="F840" i="15"/>
  <c r="F845" i="24" l="1"/>
  <c r="D845" i="24"/>
  <c r="F841" i="15"/>
  <c r="D841" i="15"/>
  <c r="F845" i="20"/>
  <c r="D845" i="20"/>
  <c r="F846" i="24" l="1"/>
  <c r="D846" i="24"/>
  <c r="F846" i="20"/>
  <c r="D846" i="20"/>
  <c r="F842" i="15"/>
  <c r="D842" i="15"/>
  <c r="D843" i="15" s="1"/>
  <c r="F847" i="24" l="1"/>
  <c r="D847" i="24"/>
  <c r="F844" i="15"/>
  <c r="C843" i="15"/>
  <c r="D844" i="15"/>
  <c r="F847" i="20"/>
  <c r="D847" i="20"/>
  <c r="F848" i="24" l="1"/>
  <c r="D848" i="24"/>
  <c r="D849" i="24" s="1"/>
  <c r="F848" i="20"/>
  <c r="D848" i="20"/>
  <c r="D849" i="20" s="1"/>
  <c r="D845" i="15"/>
  <c r="F845" i="15"/>
  <c r="C849" i="24" l="1"/>
  <c r="D850" i="24"/>
  <c r="F846" i="15"/>
  <c r="D846" i="15"/>
  <c r="D850" i="20"/>
  <c r="C849" i="20"/>
  <c r="F851" i="24" l="1"/>
  <c r="D851" i="24"/>
  <c r="D851" i="20"/>
  <c r="F851" i="20"/>
  <c r="F847" i="15"/>
  <c r="D847" i="15"/>
  <c r="D852" i="24" l="1"/>
  <c r="F852" i="24"/>
  <c r="D848" i="15"/>
  <c r="F848" i="15"/>
  <c r="D852" i="20"/>
  <c r="F852" i="20"/>
  <c r="F853" i="24" l="1"/>
  <c r="D853" i="24"/>
  <c r="D854" i="24" s="1"/>
  <c r="F849" i="15"/>
  <c r="D849" i="15"/>
  <c r="D850" i="15" s="1"/>
  <c r="F853" i="20"/>
  <c r="D853" i="20"/>
  <c r="D854" i="20" s="1"/>
  <c r="C854" i="24" l="1"/>
  <c r="D855" i="24"/>
  <c r="C854" i="20"/>
  <c r="D855" i="20"/>
  <c r="D851" i="15"/>
  <c r="C850" i="15"/>
  <c r="F851" i="15"/>
  <c r="F858" i="24" l="1"/>
  <c r="C855" i="24"/>
  <c r="D856" i="24"/>
  <c r="F852" i="15"/>
  <c r="D852" i="15"/>
  <c r="F858" i="20"/>
  <c r="C855" i="20"/>
  <c r="D856" i="20"/>
  <c r="F857" i="24" l="1"/>
  <c r="D857" i="24"/>
  <c r="D858" i="24" s="1"/>
  <c r="F853" i="15"/>
  <c r="D853" i="15"/>
  <c r="F857" i="20"/>
  <c r="D857" i="20"/>
  <c r="D858" i="20" s="1"/>
  <c r="F860" i="24" l="1"/>
  <c r="F859" i="24"/>
  <c r="C858" i="24"/>
  <c r="D859" i="24"/>
  <c r="D860" i="24" s="1"/>
  <c r="F860" i="20"/>
  <c r="F859" i="20"/>
  <c r="C858" i="20"/>
  <c r="D859" i="20"/>
  <c r="D860" i="20" s="1"/>
  <c r="F854" i="15"/>
  <c r="D854" i="15"/>
  <c r="F865" i="24" l="1"/>
  <c r="F861" i="24"/>
  <c r="C860" i="24"/>
  <c r="D861" i="24"/>
  <c r="F865" i="20"/>
  <c r="F861" i="20"/>
  <c r="C860" i="20"/>
  <c r="D861" i="20"/>
  <c r="F855" i="15"/>
  <c r="D855" i="15"/>
  <c r="F862" i="24" l="1"/>
  <c r="D862" i="24"/>
  <c r="D862" i="20"/>
  <c r="F862" i="20"/>
  <c r="C855" i="15"/>
  <c r="D856" i="15"/>
  <c r="F863" i="24" l="1"/>
  <c r="D863" i="24"/>
  <c r="F859" i="15"/>
  <c r="D857" i="15"/>
  <c r="C856" i="15"/>
  <c r="F857" i="15"/>
  <c r="D863" i="20"/>
  <c r="F863" i="20"/>
  <c r="F864" i="24" l="1"/>
  <c r="D864" i="24"/>
  <c r="D865" i="24" s="1"/>
  <c r="D864" i="20"/>
  <c r="D865" i="20" s="1"/>
  <c r="F864" i="20"/>
  <c r="D858" i="15"/>
  <c r="D859" i="15" s="1"/>
  <c r="F858" i="15"/>
  <c r="F870" i="24" l="1"/>
  <c r="C865" i="24"/>
  <c r="D866" i="24"/>
  <c r="F870" i="20"/>
  <c r="C865" i="20"/>
  <c r="D866" i="20"/>
  <c r="C859" i="15"/>
  <c r="F860" i="15"/>
  <c r="D860" i="15"/>
  <c r="D861" i="15" s="1"/>
  <c r="F861" i="15"/>
  <c r="D867" i="24" l="1"/>
  <c r="F867" i="24"/>
  <c r="F867" i="20"/>
  <c r="D867" i="20"/>
  <c r="F866" i="15"/>
  <c r="F862" i="15"/>
  <c r="C861" i="15"/>
  <c r="D862" i="15"/>
  <c r="D868" i="24" l="1"/>
  <c r="F868" i="24"/>
  <c r="F863" i="15"/>
  <c r="D863" i="15"/>
  <c r="D868" i="20"/>
  <c r="F868" i="20"/>
  <c r="D869" i="24" l="1"/>
  <c r="D870" i="24" s="1"/>
  <c r="F869" i="24"/>
  <c r="F869" i="20"/>
  <c r="D869" i="20"/>
  <c r="D870" i="20" s="1"/>
  <c r="D864" i="15"/>
  <c r="F864" i="15"/>
  <c r="F875" i="24" l="1"/>
  <c r="C870" i="24"/>
  <c r="D871" i="24"/>
  <c r="F865" i="15"/>
  <c r="D865" i="15"/>
  <c r="D866" i="15" s="1"/>
  <c r="F875" i="20"/>
  <c r="C870" i="20"/>
  <c r="D871" i="20"/>
  <c r="D872" i="24" l="1"/>
  <c r="F872" i="24"/>
  <c r="F871" i="15"/>
  <c r="C866" i="15"/>
  <c r="F867" i="15"/>
  <c r="D867" i="15"/>
  <c r="F872" i="20"/>
  <c r="D872" i="20"/>
  <c r="F873" i="24" l="1"/>
  <c r="D873" i="24"/>
  <c r="F868" i="15"/>
  <c r="D868" i="15"/>
  <c r="F873" i="20"/>
  <c r="D873" i="20"/>
  <c r="F874" i="24" l="1"/>
  <c r="D874" i="24"/>
  <c r="D875" i="24" s="1"/>
  <c r="F869" i="15"/>
  <c r="D869" i="15"/>
  <c r="D874" i="20"/>
  <c r="D875" i="20" s="1"/>
  <c r="F874" i="20"/>
  <c r="F880" i="24" l="1"/>
  <c r="C875" i="24"/>
  <c r="D876" i="24"/>
  <c r="F880" i="20"/>
  <c r="C875" i="20"/>
  <c r="D876" i="20"/>
  <c r="D870" i="15"/>
  <c r="D871" i="15" s="1"/>
  <c r="F870" i="15"/>
  <c r="F877" i="24" l="1"/>
  <c r="D877" i="24"/>
  <c r="F876" i="15"/>
  <c r="D872" i="15"/>
  <c r="C871" i="15"/>
  <c r="F872" i="15"/>
  <c r="D877" i="20"/>
  <c r="F877" i="20"/>
  <c r="F878" i="24" l="1"/>
  <c r="D878" i="24"/>
  <c r="F873" i="15"/>
  <c r="D873" i="15"/>
  <c r="D878" i="20"/>
  <c r="F878" i="20"/>
  <c r="F879" i="24" l="1"/>
  <c r="D879" i="24"/>
  <c r="D880" i="24" s="1"/>
  <c r="D879" i="20"/>
  <c r="D880" i="20" s="1"/>
  <c r="F879" i="20"/>
  <c r="F874" i="15"/>
  <c r="D874" i="15"/>
  <c r="F885" i="24" l="1"/>
  <c r="C880" i="24"/>
  <c r="D881" i="24"/>
  <c r="F875" i="15"/>
  <c r="D875" i="15"/>
  <c r="D876" i="15" s="1"/>
  <c r="F885" i="20"/>
  <c r="C880" i="20"/>
  <c r="D881" i="20"/>
  <c r="F882" i="24" l="1"/>
  <c r="D882" i="24"/>
  <c r="F877" i="15"/>
  <c r="F881" i="15"/>
  <c r="D877" i="15"/>
  <c r="C876" i="15"/>
  <c r="F882" i="20"/>
  <c r="D882" i="20"/>
  <c r="F883" i="24" l="1"/>
  <c r="D883" i="24"/>
  <c r="F878" i="15"/>
  <c r="D878" i="15"/>
  <c r="D883" i="20"/>
  <c r="F883" i="20"/>
  <c r="F884" i="24" l="1"/>
  <c r="D884" i="24"/>
  <c r="D885" i="24" s="1"/>
  <c r="F884" i="20"/>
  <c r="D884" i="20"/>
  <c r="D885" i="20" s="1"/>
  <c r="D879" i="15"/>
  <c r="F879" i="15"/>
  <c r="C885" i="24" l="1"/>
  <c r="F890" i="24"/>
  <c r="D886" i="24"/>
  <c r="F880" i="15"/>
  <c r="D880" i="15"/>
  <c r="D881" i="15" s="1"/>
  <c r="C885" i="20"/>
  <c r="F890" i="20"/>
  <c r="D886" i="20"/>
  <c r="F887" i="24" l="1"/>
  <c r="D887" i="24"/>
  <c r="D882" i="15"/>
  <c r="F882" i="15"/>
  <c r="F886" i="15"/>
  <c r="C881" i="15"/>
  <c r="D887" i="20"/>
  <c r="F887" i="20"/>
  <c r="F888" i="24" l="1"/>
  <c r="D888" i="24"/>
  <c r="F888" i="20"/>
  <c r="D888" i="20"/>
  <c r="D883" i="15"/>
  <c r="F883" i="15"/>
  <c r="D889" i="24" l="1"/>
  <c r="D890" i="24" s="1"/>
  <c r="F889" i="24"/>
  <c r="D884" i="15"/>
  <c r="F884" i="15"/>
  <c r="F889" i="20"/>
  <c r="D889" i="20"/>
  <c r="D890" i="20" s="1"/>
  <c r="F895" i="24" l="1"/>
  <c r="C890" i="24"/>
  <c r="D891" i="24"/>
  <c r="F895" i="20"/>
  <c r="D891" i="20"/>
  <c r="C890" i="20"/>
  <c r="D885" i="15"/>
  <c r="D886" i="15" s="1"/>
  <c r="F885" i="15"/>
  <c r="F892" i="24" l="1"/>
  <c r="D892" i="24"/>
  <c r="F891" i="15"/>
  <c r="F887" i="15"/>
  <c r="C886" i="15"/>
  <c r="D887" i="15"/>
  <c r="F892" i="20"/>
  <c r="D892" i="20"/>
  <c r="F893" i="24" l="1"/>
  <c r="D893" i="24"/>
  <c r="F888" i="15"/>
  <c r="D888" i="15"/>
  <c r="D893" i="20"/>
  <c r="F893" i="20"/>
  <c r="F894" i="24" l="1"/>
  <c r="D894" i="24"/>
  <c r="D895" i="24" s="1"/>
  <c r="F894" i="20"/>
  <c r="D894" i="20"/>
  <c r="D895" i="20" s="1"/>
  <c r="F889" i="15"/>
  <c r="D889" i="15"/>
  <c r="D896" i="24" l="1"/>
  <c r="C895" i="24"/>
  <c r="F900" i="24"/>
  <c r="F890" i="15"/>
  <c r="D890" i="15"/>
  <c r="D891" i="15" s="1"/>
  <c r="F900" i="20"/>
  <c r="D896" i="20"/>
  <c r="C895" i="20"/>
  <c r="D897" i="24" l="1"/>
  <c r="F897" i="24"/>
  <c r="F897" i="20"/>
  <c r="D897" i="20"/>
  <c r="F892" i="15"/>
  <c r="F896" i="15"/>
  <c r="D892" i="15"/>
  <c r="C891" i="15"/>
  <c r="F898" i="24" l="1"/>
  <c r="D898" i="24"/>
  <c r="F893" i="15"/>
  <c r="D893" i="15"/>
  <c r="F898" i="20"/>
  <c r="D898" i="20"/>
  <c r="F899" i="24" l="1"/>
  <c r="D899" i="24"/>
  <c r="D900" i="24" s="1"/>
  <c r="D899" i="20"/>
  <c r="D900" i="20" s="1"/>
  <c r="F899" i="20"/>
  <c r="F894" i="15"/>
  <c r="D894" i="15"/>
  <c r="F905" i="24" l="1"/>
  <c r="C900" i="24"/>
  <c r="D901" i="24"/>
  <c r="F895" i="15"/>
  <c r="D895" i="15"/>
  <c r="D896" i="15" s="1"/>
  <c r="D901" i="20"/>
  <c r="F905" i="20"/>
  <c r="C900" i="20"/>
  <c r="F902" i="24" l="1"/>
  <c r="D902" i="24"/>
  <c r="F902" i="20"/>
  <c r="D902" i="20"/>
  <c r="D897" i="15"/>
  <c r="F901" i="15"/>
  <c r="F897" i="15"/>
  <c r="C896" i="15"/>
  <c r="F903" i="24" l="1"/>
  <c r="D903" i="24"/>
  <c r="D898" i="15"/>
  <c r="F898" i="15"/>
  <c r="F903" i="20"/>
  <c r="D903" i="20"/>
  <c r="F904" i="24" l="1"/>
  <c r="D904" i="24"/>
  <c r="D905" i="24" s="1"/>
  <c r="F904" i="20"/>
  <c r="D904" i="20"/>
  <c r="D905" i="20" s="1"/>
  <c r="D899" i="15"/>
  <c r="F899" i="15"/>
  <c r="F910" i="24" l="1"/>
  <c r="D906" i="24"/>
  <c r="C905" i="24"/>
  <c r="D900" i="15"/>
  <c r="D901" i="15" s="1"/>
  <c r="F900" i="15"/>
  <c r="C905" i="20"/>
  <c r="F910" i="20"/>
  <c r="D906" i="20"/>
  <c r="F907" i="24" l="1"/>
  <c r="D907" i="24"/>
  <c r="F907" i="20"/>
  <c r="D907" i="20"/>
  <c r="F906" i="15"/>
  <c r="F902" i="15"/>
  <c r="C901" i="15"/>
  <c r="D902" i="15"/>
  <c r="D908" i="24" l="1"/>
  <c r="F908" i="24"/>
  <c r="D903" i="15"/>
  <c r="F903" i="15"/>
  <c r="F908" i="20"/>
  <c r="D908" i="20"/>
  <c r="F909" i="24" l="1"/>
  <c r="D909" i="24"/>
  <c r="D910" i="24" s="1"/>
  <c r="F909" i="20"/>
  <c r="D909" i="20"/>
  <c r="D910" i="20" s="1"/>
  <c r="F904" i="15"/>
  <c r="D904" i="15"/>
  <c r="F915" i="24" l="1"/>
  <c r="C910" i="24"/>
  <c r="D911" i="24"/>
  <c r="F915" i="20"/>
  <c r="C910" i="20"/>
  <c r="D911" i="20"/>
  <c r="D905" i="15"/>
  <c r="D906" i="15" s="1"/>
  <c r="F905" i="15"/>
  <c r="D912" i="24" l="1"/>
  <c r="F912" i="24"/>
  <c r="C906" i="15"/>
  <c r="F911" i="15"/>
  <c r="F907" i="15"/>
  <c r="D907" i="15"/>
  <c r="F912" i="20"/>
  <c r="D912" i="20"/>
  <c r="D913" i="24" l="1"/>
  <c r="F913" i="24"/>
  <c r="D908" i="15"/>
  <c r="F908" i="15"/>
  <c r="F913" i="20"/>
  <c r="D913" i="20"/>
  <c r="D914" i="24" l="1"/>
  <c r="D915" i="24" s="1"/>
  <c r="F914" i="24"/>
  <c r="D909" i="15"/>
  <c r="F909" i="15"/>
  <c r="F914" i="20"/>
  <c r="D914" i="20"/>
  <c r="D915" i="20" s="1"/>
  <c r="C915" i="24" l="1"/>
  <c r="F920" i="24"/>
  <c r="D916" i="24"/>
  <c r="C915" i="20"/>
  <c r="F920" i="20"/>
  <c r="D916" i="20"/>
  <c r="D910" i="15"/>
  <c r="D911" i="15" s="1"/>
  <c r="F910" i="15"/>
  <c r="F917" i="24" l="1"/>
  <c r="D917" i="24"/>
  <c r="D917" i="20"/>
  <c r="F917" i="20"/>
  <c r="F912" i="15"/>
  <c r="C911" i="15"/>
  <c r="D912" i="15"/>
  <c r="F916" i="15"/>
  <c r="F918" i="24" l="1"/>
  <c r="D918" i="24"/>
  <c r="F913" i="15"/>
  <c r="D913" i="15"/>
  <c r="F918" i="20"/>
  <c r="D918" i="20"/>
  <c r="D919" i="24" l="1"/>
  <c r="D920" i="24" s="1"/>
  <c r="F919" i="24"/>
  <c r="F919" i="20"/>
  <c r="D919" i="20"/>
  <c r="D920" i="20" s="1"/>
  <c r="D914" i="15"/>
  <c r="F914" i="15"/>
  <c r="D921" i="24" l="1"/>
  <c r="F925" i="24"/>
  <c r="C920" i="24"/>
  <c r="D915" i="15"/>
  <c r="D916" i="15" s="1"/>
  <c r="F915" i="15"/>
  <c r="F925" i="20"/>
  <c r="C920" i="20"/>
  <c r="D921" i="20"/>
  <c r="D922" i="24" l="1"/>
  <c r="F922" i="24"/>
  <c r="F922" i="20"/>
  <c r="D922" i="20"/>
  <c r="F921" i="15"/>
  <c r="F917" i="15"/>
  <c r="C916" i="15"/>
  <c r="D917" i="15"/>
  <c r="F923" i="24" l="1"/>
  <c r="D923" i="24"/>
  <c r="D918" i="15"/>
  <c r="F918" i="15"/>
  <c r="F923" i="20"/>
  <c r="D923" i="20"/>
  <c r="F924" i="24" l="1"/>
  <c r="D924" i="24"/>
  <c r="D925" i="24" s="1"/>
  <c r="D924" i="20"/>
  <c r="D925" i="20" s="1"/>
  <c r="F924" i="20"/>
  <c r="D919" i="15"/>
  <c r="F919" i="15"/>
  <c r="C925" i="24" l="1"/>
  <c r="D926" i="24"/>
  <c r="F930" i="24"/>
  <c r="D920" i="15"/>
  <c r="D921" i="15" s="1"/>
  <c r="F920" i="15"/>
  <c r="D926" i="20"/>
  <c r="F930" i="20"/>
  <c r="C925" i="20"/>
  <c r="D927" i="24" l="1"/>
  <c r="F927" i="24"/>
  <c r="F927" i="20"/>
  <c r="D927" i="20"/>
  <c r="D922" i="15"/>
  <c r="F922" i="15"/>
  <c r="C921" i="15"/>
  <c r="F926" i="15"/>
  <c r="F928" i="24" l="1"/>
  <c r="D928" i="24"/>
  <c r="D923" i="15"/>
  <c r="F923" i="15"/>
  <c r="F928" i="20"/>
  <c r="D928" i="20"/>
  <c r="F929" i="24" l="1"/>
  <c r="D929" i="24"/>
  <c r="D930" i="24" s="1"/>
  <c r="D929" i="20"/>
  <c r="D930" i="20" s="1"/>
  <c r="F929" i="20"/>
  <c r="D924" i="15"/>
  <c r="F924" i="15"/>
  <c r="F935" i="24" l="1"/>
  <c r="D931" i="24"/>
  <c r="C930" i="24"/>
  <c r="D925" i="15"/>
  <c r="D926" i="15" s="1"/>
  <c r="F925" i="15"/>
  <c r="F935" i="20"/>
  <c r="D931" i="20"/>
  <c r="C930" i="20"/>
  <c r="F932" i="24" l="1"/>
  <c r="D932" i="24"/>
  <c r="D932" i="20"/>
  <c r="F932" i="20"/>
  <c r="F927" i="15"/>
  <c r="C926" i="15"/>
  <c r="F931" i="15"/>
  <c r="D927" i="15"/>
  <c r="F933" i="24" l="1"/>
  <c r="D933" i="24"/>
  <c r="D928" i="15"/>
  <c r="F928" i="15"/>
  <c r="F933" i="20"/>
  <c r="D933" i="20"/>
  <c r="F934" i="24" l="1"/>
  <c r="D934" i="24"/>
  <c r="D935" i="24" s="1"/>
  <c r="D929" i="15"/>
  <c r="F929" i="15"/>
  <c r="F934" i="20"/>
  <c r="D934" i="20"/>
  <c r="D935" i="20" s="1"/>
  <c r="C935" i="24" l="1"/>
  <c r="D936" i="24"/>
  <c r="F940" i="24"/>
  <c r="C935" i="20"/>
  <c r="D936" i="20"/>
  <c r="F940" i="20"/>
  <c r="D930" i="15"/>
  <c r="D931" i="15" s="1"/>
  <c r="F930" i="15"/>
  <c r="F937" i="24" l="1"/>
  <c r="D937" i="24"/>
  <c r="D932" i="15"/>
  <c r="C931" i="15"/>
  <c r="F936" i="15"/>
  <c r="F932" i="15"/>
  <c r="D937" i="20"/>
  <c r="F937" i="20"/>
  <c r="D938" i="24" l="1"/>
  <c r="F938" i="24"/>
  <c r="D938" i="20"/>
  <c r="F938" i="20"/>
  <c r="D933" i="15"/>
  <c r="F933" i="15"/>
  <c r="D939" i="24" l="1"/>
  <c r="D940" i="24" s="1"/>
  <c r="F939" i="24"/>
  <c r="D934" i="15"/>
  <c r="F934" i="15"/>
  <c r="D939" i="20"/>
  <c r="D940" i="20" s="1"/>
  <c r="F939" i="20"/>
  <c r="C940" i="24" l="1"/>
  <c r="F943" i="24"/>
  <c r="D941" i="24"/>
  <c r="C940" i="20"/>
  <c r="F943" i="20"/>
  <c r="D941" i="20"/>
  <c r="D935" i="15"/>
  <c r="D936" i="15" s="1"/>
  <c r="F935" i="15"/>
  <c r="F942" i="24" l="1"/>
  <c r="D942" i="24"/>
  <c r="D943" i="24" s="1"/>
  <c r="F937" i="15"/>
  <c r="C936" i="15"/>
  <c r="F941" i="15"/>
  <c r="D937" i="15"/>
  <c r="F942" i="20"/>
  <c r="D942" i="20"/>
  <c r="D943" i="20" s="1"/>
  <c r="F949" i="24" l="1"/>
  <c r="D944" i="24"/>
  <c r="C943" i="24"/>
  <c r="D938" i="15"/>
  <c r="F938" i="15"/>
  <c r="F949" i="20"/>
  <c r="C943" i="20"/>
  <c r="D944" i="20"/>
  <c r="F945" i="24" l="1"/>
  <c r="D945" i="24"/>
  <c r="D945" i="20"/>
  <c r="F945" i="20"/>
  <c r="D939" i="15"/>
  <c r="F939" i="15"/>
  <c r="F946" i="24" l="1"/>
  <c r="D946" i="24"/>
  <c r="F940" i="15"/>
  <c r="D940" i="15"/>
  <c r="D941" i="15" s="1"/>
  <c r="F946" i="20"/>
  <c r="D946" i="20"/>
  <c r="F947" i="24" l="1"/>
  <c r="D947" i="24"/>
  <c r="F947" i="20"/>
  <c r="D947" i="20"/>
  <c r="D942" i="15"/>
  <c r="F944" i="15"/>
  <c r="F942" i="15"/>
  <c r="C941" i="15"/>
  <c r="F948" i="24" l="1"/>
  <c r="D948" i="24"/>
  <c r="D949" i="24" s="1"/>
  <c r="F943" i="15"/>
  <c r="D943" i="15"/>
  <c r="D944" i="15" s="1"/>
  <c r="F948" i="20"/>
  <c r="D948" i="20"/>
  <c r="D949" i="20" s="1"/>
  <c r="C949" i="24" l="1"/>
  <c r="D950" i="24"/>
  <c r="F952" i="24"/>
  <c r="D945" i="15"/>
  <c r="F950" i="15"/>
  <c r="F945" i="15"/>
  <c r="C944" i="15"/>
  <c r="C949" i="20"/>
  <c r="F952" i="20"/>
  <c r="D950" i="20"/>
  <c r="D951" i="24" l="1"/>
  <c r="D952" i="24" s="1"/>
  <c r="F951" i="24"/>
  <c r="D951" i="20"/>
  <c r="D952" i="20" s="1"/>
  <c r="F951" i="20"/>
  <c r="D946" i="15"/>
  <c r="F946" i="15"/>
  <c r="F958" i="24" l="1"/>
  <c r="D953" i="24"/>
  <c r="C952" i="24"/>
  <c r="D947" i="15"/>
  <c r="F947" i="15"/>
  <c r="F958" i="20"/>
  <c r="D953" i="20"/>
  <c r="C952" i="20"/>
  <c r="D954" i="24" l="1"/>
  <c r="F954" i="24"/>
  <c r="D954" i="20"/>
  <c r="F954" i="20"/>
  <c r="D948" i="15"/>
  <c r="F948" i="15"/>
  <c r="F955" i="24" l="1"/>
  <c r="D955" i="24"/>
  <c r="D949" i="15"/>
  <c r="D950" i="15" s="1"/>
  <c r="F949" i="15"/>
  <c r="F955" i="20"/>
  <c r="D955" i="20"/>
  <c r="F956" i="24" l="1"/>
  <c r="D956" i="24"/>
  <c r="F956" i="20"/>
  <c r="D956" i="20"/>
  <c r="F951" i="15"/>
  <c r="C950" i="15"/>
  <c r="F953" i="15"/>
  <c r="D951" i="15"/>
  <c r="F957" i="24" l="1"/>
  <c r="D957" i="24"/>
  <c r="D958" i="24" s="1"/>
  <c r="D952" i="15"/>
  <c r="D953" i="15" s="1"/>
  <c r="F952" i="15"/>
  <c r="F957" i="20"/>
  <c r="D957" i="20"/>
  <c r="D958" i="20" s="1"/>
  <c r="C958" i="24" l="1"/>
  <c r="F961" i="24"/>
  <c r="D959" i="24"/>
  <c r="C958" i="20"/>
  <c r="F961" i="20"/>
  <c r="D959" i="20"/>
  <c r="D954" i="15"/>
  <c r="C953" i="15"/>
  <c r="F959" i="15"/>
  <c r="F954" i="15"/>
  <c r="D960" i="24" l="1"/>
  <c r="D961" i="24" s="1"/>
  <c r="F960" i="24"/>
  <c r="D955" i="15"/>
  <c r="F955" i="15"/>
  <c r="D960" i="20"/>
  <c r="D961" i="20" s="1"/>
  <c r="F960" i="20"/>
  <c r="F967" i="24" l="1"/>
  <c r="C961" i="24"/>
  <c r="D962" i="24"/>
  <c r="F967" i="20"/>
  <c r="C961" i="20"/>
  <c r="D962" i="20"/>
  <c r="D956" i="15"/>
  <c r="F956" i="15"/>
  <c r="F963" i="24" l="1"/>
  <c r="D963" i="24"/>
  <c r="D957" i="15"/>
  <c r="F957" i="15"/>
  <c r="F963" i="20"/>
  <c r="D963" i="20"/>
  <c r="D964" i="24" l="1"/>
  <c r="F964" i="24"/>
  <c r="D964" i="20"/>
  <c r="F964" i="20"/>
  <c r="D958" i="15"/>
  <c r="D959" i="15" s="1"/>
  <c r="F958" i="15"/>
  <c r="F965" i="24" l="1"/>
  <c r="D965" i="24"/>
  <c r="F965" i="20"/>
  <c r="D965" i="20"/>
  <c r="F960" i="15"/>
  <c r="C959" i="15"/>
  <c r="F962" i="15"/>
  <c r="D960" i="15"/>
  <c r="F966" i="24" l="1"/>
  <c r="D966" i="24"/>
  <c r="D967" i="24" s="1"/>
  <c r="D961" i="15"/>
  <c r="D962" i="15" s="1"/>
  <c r="F961" i="15"/>
  <c r="F966" i="20"/>
  <c r="D966" i="20"/>
  <c r="D967" i="20" s="1"/>
  <c r="D968" i="24" l="1"/>
  <c r="F971" i="24"/>
  <c r="C967" i="24"/>
  <c r="D968" i="20"/>
  <c r="F971" i="20"/>
  <c r="C967" i="20"/>
  <c r="F968" i="15"/>
  <c r="F963" i="15"/>
  <c r="C962" i="15"/>
  <c r="D963" i="15"/>
  <c r="F969" i="24" l="1"/>
  <c r="D969" i="24"/>
  <c r="F964" i="15"/>
  <c r="D964" i="15"/>
  <c r="F969" i="20"/>
  <c r="D969" i="20"/>
  <c r="F970" i="24" l="1"/>
  <c r="D970" i="24"/>
  <c r="D971" i="24" s="1"/>
  <c r="F970" i="20"/>
  <c r="D970" i="20"/>
  <c r="D971" i="20" s="1"/>
  <c r="F965" i="15"/>
  <c r="D965" i="15"/>
  <c r="F974" i="24" l="1"/>
  <c r="D972" i="24"/>
  <c r="C971" i="24"/>
  <c r="F966" i="15"/>
  <c r="D966" i="15"/>
  <c r="F974" i="20"/>
  <c r="D972" i="20"/>
  <c r="C971" i="20"/>
  <c r="F973" i="24" l="1"/>
  <c r="D973" i="24"/>
  <c r="D974" i="24" s="1"/>
  <c r="F967" i="15"/>
  <c r="D967" i="15"/>
  <c r="D968" i="15" s="1"/>
  <c r="F973" i="20"/>
  <c r="D973" i="20"/>
  <c r="D974" i="20" s="1"/>
  <c r="F980" i="24" l="1"/>
  <c r="F975" i="24"/>
  <c r="C974" i="24"/>
  <c r="D975" i="24"/>
  <c r="D976" i="24" s="1"/>
  <c r="D969" i="15"/>
  <c r="F972" i="15"/>
  <c r="F969" i="15"/>
  <c r="C968" i="15"/>
  <c r="F980" i="20"/>
  <c r="F975" i="20"/>
  <c r="C974" i="20"/>
  <c r="D975" i="20"/>
  <c r="D976" i="20" s="1"/>
  <c r="F977" i="24" l="1"/>
  <c r="D977" i="24"/>
  <c r="F977" i="20"/>
  <c r="D977" i="20"/>
  <c r="F970" i="15"/>
  <c r="D970" i="15"/>
  <c r="F978" i="24" l="1"/>
  <c r="D978" i="24"/>
  <c r="D971" i="15"/>
  <c r="D972" i="15" s="1"/>
  <c r="F971" i="15"/>
  <c r="F978" i="20"/>
  <c r="D978" i="20"/>
  <c r="F979" i="24" l="1"/>
  <c r="D979" i="24"/>
  <c r="D980" i="24" s="1"/>
  <c r="F979" i="20"/>
  <c r="D979" i="20"/>
  <c r="D980" i="20" s="1"/>
  <c r="F973" i="15"/>
  <c r="C972" i="15"/>
  <c r="D973" i="15"/>
  <c r="F975" i="15"/>
  <c r="C980" i="24" l="1"/>
  <c r="F983" i="24"/>
  <c r="D981" i="24"/>
  <c r="C980" i="20"/>
  <c r="F983" i="20"/>
  <c r="D981" i="20"/>
  <c r="F974" i="15"/>
  <c r="D974" i="15"/>
  <c r="D975" i="15" s="1"/>
  <c r="D982" i="24" l="1"/>
  <c r="D983" i="24" s="1"/>
  <c r="F982" i="24"/>
  <c r="D982" i="20"/>
  <c r="D983" i="20" s="1"/>
  <c r="F982" i="20"/>
  <c r="F976" i="15"/>
  <c r="C975" i="15"/>
  <c r="D976" i="15"/>
  <c r="F981" i="15"/>
  <c r="C983" i="24" l="1"/>
  <c r="D984" i="24"/>
  <c r="F989" i="24"/>
  <c r="F977" i="15"/>
  <c r="D977" i="15"/>
  <c r="C983" i="20"/>
  <c r="D984" i="20"/>
  <c r="F989" i="20"/>
  <c r="F985" i="24" l="1"/>
  <c r="D985" i="24"/>
  <c r="F985" i="20"/>
  <c r="D985" i="20"/>
  <c r="F978" i="15"/>
  <c r="D978" i="15"/>
  <c r="F986" i="24" l="1"/>
  <c r="D986" i="24"/>
  <c r="F986" i="20"/>
  <c r="D986" i="20"/>
  <c r="F979" i="15"/>
  <c r="D979" i="15"/>
  <c r="F987" i="24" l="1"/>
  <c r="D987" i="24"/>
  <c r="D980" i="15"/>
  <c r="D981" i="15" s="1"/>
  <c r="F980" i="15"/>
  <c r="F987" i="20"/>
  <c r="D987" i="20"/>
  <c r="F988" i="24" l="1"/>
  <c r="D988" i="24"/>
  <c r="D989" i="24" s="1"/>
  <c r="F988" i="20"/>
  <c r="D988" i="20"/>
  <c r="D989" i="20" s="1"/>
  <c r="F982" i="15"/>
  <c r="C981" i="15"/>
  <c r="D982" i="15"/>
  <c r="F984" i="15"/>
  <c r="C989" i="24" l="1"/>
  <c r="D990" i="24"/>
  <c r="F993" i="24"/>
  <c r="C989" i="20"/>
  <c r="D990" i="20"/>
  <c r="F993" i="20"/>
  <c r="F983" i="15"/>
  <c r="D983" i="15"/>
  <c r="D984" i="15" s="1"/>
  <c r="F991" i="24" l="1"/>
  <c r="D991" i="24"/>
  <c r="F991" i="20"/>
  <c r="D991" i="20"/>
  <c r="F985" i="15"/>
  <c r="C984" i="15"/>
  <c r="D985" i="15"/>
  <c r="F990" i="15"/>
  <c r="F992" i="24" l="1"/>
  <c r="D992" i="24"/>
  <c r="D993" i="24" s="1"/>
  <c r="F992" i="20"/>
  <c r="D992" i="20"/>
  <c r="D993" i="20" s="1"/>
  <c r="F986" i="15"/>
  <c r="D986" i="15"/>
  <c r="C993" i="24" l="1"/>
  <c r="F996" i="24"/>
  <c r="D994" i="24"/>
  <c r="F987" i="15"/>
  <c r="D987" i="15"/>
  <c r="C993" i="20"/>
  <c r="F996" i="20"/>
  <c r="D994" i="20"/>
  <c r="D995" i="24" l="1"/>
  <c r="D996" i="24" s="1"/>
  <c r="F995" i="24"/>
  <c r="F988" i="15"/>
  <c r="D988" i="15"/>
  <c r="D995" i="20"/>
  <c r="D996" i="20" s="1"/>
  <c r="F995" i="20"/>
  <c r="F997" i="24" l="1"/>
  <c r="C996" i="24"/>
  <c r="D997" i="24"/>
  <c r="F997" i="20"/>
  <c r="C996" i="20"/>
  <c r="D997" i="20"/>
  <c r="D989" i="15"/>
  <c r="D990" i="15" s="1"/>
  <c r="F989" i="15"/>
  <c r="F1001" i="24" l="1"/>
  <c r="C997" i="24"/>
  <c r="D998" i="24"/>
  <c r="F994" i="15"/>
  <c r="F991" i="15"/>
  <c r="C990" i="15"/>
  <c r="D991" i="15"/>
  <c r="F1001" i="20"/>
  <c r="C997" i="20"/>
  <c r="D998" i="20"/>
  <c r="F999" i="24" l="1"/>
  <c r="D999" i="24"/>
  <c r="F992" i="15"/>
  <c r="D992" i="15"/>
  <c r="D999" i="20"/>
  <c r="F999" i="20"/>
  <c r="F1000" i="24" l="1"/>
  <c r="D1000" i="24"/>
  <c r="D1001" i="24" s="1"/>
  <c r="D1000" i="20"/>
  <c r="D1001" i="20" s="1"/>
  <c r="F1000" i="20"/>
  <c r="D993" i="15"/>
  <c r="D994" i="15" s="1"/>
  <c r="F993" i="15"/>
  <c r="D1002" i="24" l="1"/>
  <c r="F1005" i="24"/>
  <c r="C1001" i="24"/>
  <c r="D1002" i="20"/>
  <c r="F1005" i="20"/>
  <c r="C1001" i="20"/>
  <c r="D995" i="15"/>
  <c r="F997" i="15"/>
  <c r="F995" i="15"/>
  <c r="C994" i="15"/>
  <c r="F1003" i="24" l="1"/>
  <c r="D1003" i="24"/>
  <c r="F996" i="15"/>
  <c r="D996" i="15"/>
  <c r="D997" i="15" s="1"/>
  <c r="F1003" i="20"/>
  <c r="D1003" i="20"/>
  <c r="D1004" i="24" l="1"/>
  <c r="D1005" i="24" s="1"/>
  <c r="F1004" i="24"/>
  <c r="F1004" i="20"/>
  <c r="D1004" i="20"/>
  <c r="D1005" i="20" s="1"/>
  <c r="F998" i="15"/>
  <c r="D998" i="15"/>
  <c r="C997" i="15"/>
  <c r="F1009" i="24" l="1"/>
  <c r="D1006" i="24"/>
  <c r="C1005" i="24"/>
  <c r="F999" i="15"/>
  <c r="C998" i="15"/>
  <c r="F1002" i="15"/>
  <c r="D999" i="15"/>
  <c r="C1005" i="20"/>
  <c r="F1009" i="20"/>
  <c r="D1006" i="20"/>
  <c r="D1007" i="24" l="1"/>
  <c r="F1007" i="24"/>
  <c r="F1007" i="20"/>
  <c r="D1007" i="20"/>
  <c r="D1000" i="15"/>
  <c r="F1000" i="15"/>
  <c r="F1008" i="24" l="1"/>
  <c r="D1008" i="24"/>
  <c r="D1009" i="24" s="1"/>
  <c r="F1001" i="15"/>
  <c r="D1001" i="15"/>
  <c r="D1002" i="15" s="1"/>
  <c r="D1008" i="20"/>
  <c r="D1009" i="20" s="1"/>
  <c r="F1008" i="20"/>
  <c r="F1018" i="24" l="1"/>
  <c r="D1010" i="24"/>
  <c r="C1009" i="24"/>
  <c r="D1010" i="20"/>
  <c r="F1018" i="20"/>
  <c r="C1009" i="20"/>
  <c r="F1003" i="15"/>
  <c r="C1002" i="15"/>
  <c r="F1006" i="15"/>
  <c r="D1003" i="15"/>
  <c r="F1011" i="24" l="1"/>
  <c r="D1011" i="24"/>
  <c r="F1004" i="15"/>
  <c r="D1004" i="15"/>
  <c r="D1011" i="20"/>
  <c r="F1011" i="20"/>
  <c r="D1012" i="24" l="1"/>
  <c r="F1012" i="24"/>
  <c r="D1012" i="20"/>
  <c r="F1012" i="20"/>
  <c r="D1005" i="15"/>
  <c r="D1006" i="15" s="1"/>
  <c r="F1005" i="15"/>
  <c r="F1013" i="24" l="1"/>
  <c r="D1013" i="24"/>
  <c r="F1007" i="15"/>
  <c r="C1006" i="15"/>
  <c r="D1007" i="15"/>
  <c r="F1010" i="15"/>
  <c r="D1013" i="20"/>
  <c r="F1013" i="20"/>
  <c r="D1014" i="24" l="1"/>
  <c r="F1014" i="24"/>
  <c r="F1008" i="15"/>
  <c r="D1008" i="15"/>
  <c r="D1014" i="20"/>
  <c r="F1014" i="20"/>
  <c r="D1015" i="24" l="1"/>
  <c r="F1015" i="24"/>
  <c r="F1015" i="20"/>
  <c r="D1015" i="20"/>
  <c r="F1009" i="15"/>
  <c r="D1009" i="15"/>
  <c r="D1010" i="15" s="1"/>
  <c r="D1016" i="24" l="1"/>
  <c r="F1016" i="24"/>
  <c r="F1019" i="15"/>
  <c r="F1011" i="15"/>
  <c r="C1010" i="15"/>
  <c r="D1011" i="15"/>
  <c r="F1016" i="20"/>
  <c r="D1016" i="20"/>
  <c r="D1017" i="24" l="1"/>
  <c r="D1018" i="24" s="1"/>
  <c r="F1017" i="24"/>
  <c r="F1012" i="15"/>
  <c r="D1012" i="15"/>
  <c r="F1017" i="20"/>
  <c r="D1017" i="20"/>
  <c r="D1018" i="20" s="1"/>
  <c r="F1025" i="24" l="1"/>
  <c r="C1018" i="24"/>
  <c r="D1019" i="24"/>
  <c r="F1025" i="20"/>
  <c r="C1018" i="20"/>
  <c r="D1019" i="20"/>
  <c r="F1013" i="15"/>
  <c r="D1013" i="15"/>
  <c r="D1020" i="24" l="1"/>
  <c r="F1020" i="24"/>
  <c r="F1020" i="20"/>
  <c r="D1020" i="20"/>
  <c r="D1014" i="15"/>
  <c r="F1014" i="15"/>
  <c r="D1021" i="24" l="1"/>
  <c r="F1021" i="24"/>
  <c r="F1015" i="15"/>
  <c r="D1015" i="15"/>
  <c r="F1021" i="20"/>
  <c r="D1021" i="20"/>
  <c r="F1022" i="24" l="1"/>
  <c r="D1022" i="24"/>
  <c r="F1022" i="20"/>
  <c r="D1022" i="20"/>
  <c r="F1016" i="15"/>
  <c r="D1016" i="15"/>
  <c r="F1023" i="24" l="1"/>
  <c r="D1023" i="24"/>
  <c r="D1017" i="15"/>
  <c r="F1017" i="15"/>
  <c r="F1023" i="20"/>
  <c r="D1023" i="20"/>
  <c r="F1024" i="24" l="1"/>
  <c r="D1024" i="24"/>
  <c r="D1025" i="24" s="1"/>
  <c r="D1024" i="20"/>
  <c r="D1025" i="20" s="1"/>
  <c r="F1024" i="20"/>
  <c r="F1018" i="15"/>
  <c r="D1018" i="15"/>
  <c r="D1019" i="15" s="1"/>
  <c r="D1026" i="24" l="1"/>
  <c r="C1025" i="24"/>
  <c r="F1026" i="15"/>
  <c r="F1020" i="15"/>
  <c r="C1019" i="15"/>
  <c r="D1020" i="15"/>
  <c r="D1026" i="20"/>
  <c r="C1025" i="20"/>
  <c r="F1027" i="24" l="1"/>
  <c r="D1027" i="24"/>
  <c r="F1021" i="15"/>
  <c r="D1021" i="15"/>
  <c r="D1027" i="20"/>
  <c r="F1027" i="20"/>
  <c r="F1028" i="24" l="1"/>
  <c r="D1028" i="24"/>
  <c r="D1029" i="24" s="1"/>
  <c r="F1028" i="20"/>
  <c r="D1028" i="20"/>
  <c r="D1029" i="20" s="1"/>
  <c r="F1022" i="15"/>
  <c r="D1022" i="15"/>
  <c r="C1029" i="24" l="1"/>
  <c r="D1030" i="24"/>
  <c r="F1023" i="15"/>
  <c r="D1023" i="15"/>
  <c r="C1029" i="20"/>
  <c r="D1030" i="20"/>
  <c r="F1031" i="24" l="1"/>
  <c r="D1031" i="24"/>
  <c r="D1032" i="24" s="1"/>
  <c r="F1031" i="20"/>
  <c r="D1031" i="20"/>
  <c r="D1032" i="20" s="1"/>
  <c r="F1024" i="15"/>
  <c r="D1024" i="15"/>
  <c r="C1032" i="24" l="1"/>
  <c r="D1033" i="24"/>
  <c r="D1025" i="15"/>
  <c r="D1026" i="15" s="1"/>
  <c r="F1025" i="15"/>
  <c r="C1032" i="20"/>
  <c r="D1033" i="20"/>
  <c r="F1040" i="24" l="1"/>
  <c r="C1033" i="24"/>
  <c r="D1034" i="24"/>
  <c r="D1034" i="20"/>
  <c r="F1040" i="20"/>
  <c r="C1033" i="20"/>
  <c r="F1027" i="15"/>
  <c r="C1026" i="15"/>
  <c r="D1027" i="15"/>
  <c r="F1030" i="15"/>
  <c r="D1035" i="24" l="1"/>
  <c r="F1035" i="24"/>
  <c r="F1028" i="15"/>
  <c r="D1028" i="15"/>
  <c r="D1035" i="20"/>
  <c r="F1035" i="20"/>
  <c r="D1036" i="24" l="1"/>
  <c r="F1036" i="24"/>
  <c r="F1036" i="20"/>
  <c r="D1036" i="20"/>
  <c r="F1029" i="15"/>
  <c r="D1029" i="15"/>
  <c r="D1030" i="15" s="1"/>
  <c r="F1037" i="24" l="1"/>
  <c r="D1037" i="24"/>
  <c r="D1031" i="15"/>
  <c r="F1031" i="15"/>
  <c r="C1030" i="15"/>
  <c r="D1037" i="20"/>
  <c r="F1037" i="20"/>
  <c r="D1038" i="24" l="1"/>
  <c r="F1038" i="24"/>
  <c r="F1038" i="20"/>
  <c r="D1038" i="20"/>
  <c r="D1032" i="15"/>
  <c r="D1033" i="15" s="1"/>
  <c r="F1032" i="15"/>
  <c r="F1039" i="24" l="1"/>
  <c r="D1039" i="24"/>
  <c r="D1040" i="24" s="1"/>
  <c r="C1033" i="15"/>
  <c r="D1034" i="15"/>
  <c r="F1039" i="20"/>
  <c r="D1039" i="20"/>
  <c r="D1040" i="20" s="1"/>
  <c r="F1045" i="24" l="1"/>
  <c r="C1040" i="24"/>
  <c r="D1041" i="24"/>
  <c r="F1045" i="20"/>
  <c r="C1040" i="20"/>
  <c r="D1041" i="20"/>
  <c r="F1035" i="15"/>
  <c r="C1034" i="15"/>
  <c r="D1035" i="15"/>
  <c r="F1041" i="15"/>
  <c r="D1042" i="24" l="1"/>
  <c r="F1042" i="24"/>
  <c r="D1042" i="20"/>
  <c r="F1042" i="20"/>
  <c r="F1036" i="15"/>
  <c r="D1036" i="15"/>
  <c r="F1043" i="24" l="1"/>
  <c r="D1043" i="24"/>
  <c r="F1037" i="15"/>
  <c r="D1037" i="15"/>
  <c r="F1043" i="20"/>
  <c r="D1043" i="20"/>
  <c r="F1044" i="24" l="1"/>
  <c r="D1044" i="24"/>
  <c r="D1045" i="24" s="1"/>
  <c r="F1044" i="20"/>
  <c r="D1044" i="20"/>
  <c r="D1045" i="20" s="1"/>
  <c r="F1038" i="15"/>
  <c r="D1038" i="15"/>
  <c r="F1048" i="24" l="1"/>
  <c r="C1045" i="24"/>
  <c r="D1046" i="24"/>
  <c r="F1039" i="15"/>
  <c r="D1039" i="15"/>
  <c r="D1046" i="20"/>
  <c r="F1048" i="20"/>
  <c r="C1045" i="20"/>
  <c r="D1047" i="24" l="1"/>
  <c r="D1048" i="24" s="1"/>
  <c r="F1047" i="24"/>
  <c r="F1040" i="15"/>
  <c r="D1040" i="15"/>
  <c r="D1041" i="15" s="1"/>
  <c r="F1047" i="20"/>
  <c r="D1047" i="20"/>
  <c r="D1048" i="20" s="1"/>
  <c r="F1055" i="24" l="1"/>
  <c r="C1048" i="24"/>
  <c r="D1049" i="24"/>
  <c r="F1055" i="20"/>
  <c r="C1048" i="20"/>
  <c r="D1049" i="20"/>
  <c r="F1046" i="15"/>
  <c r="F1042" i="15"/>
  <c r="C1041" i="15"/>
  <c r="D1042" i="15"/>
  <c r="F1050" i="24" l="1"/>
  <c r="D1050" i="24"/>
  <c r="D1043" i="15"/>
  <c r="F1043" i="15"/>
  <c r="F1050" i="20"/>
  <c r="D1050" i="20"/>
  <c r="F1051" i="24" l="1"/>
  <c r="D1051" i="24"/>
  <c r="D1044" i="15"/>
  <c r="F1044" i="15"/>
  <c r="F1051" i="20"/>
  <c r="D1051" i="20"/>
  <c r="F1052" i="24" l="1"/>
  <c r="D1052" i="24"/>
  <c r="F1052" i="20"/>
  <c r="D1052" i="20"/>
  <c r="D1045" i="15"/>
  <c r="D1046" i="15" s="1"/>
  <c r="F1045" i="15"/>
  <c r="F1053" i="24" l="1"/>
  <c r="D1053" i="24"/>
  <c r="F1047" i="15"/>
  <c r="C1046" i="15"/>
  <c r="F1049" i="15"/>
  <c r="D1047" i="15"/>
  <c r="F1053" i="20"/>
  <c r="D1053" i="20"/>
  <c r="F1054" i="24" l="1"/>
  <c r="D1054" i="24"/>
  <c r="D1055" i="24" s="1"/>
  <c r="D1048" i="15"/>
  <c r="D1049" i="15" s="1"/>
  <c r="F1048" i="15"/>
  <c r="F1054" i="20"/>
  <c r="D1054" i="20"/>
  <c r="D1055" i="20" s="1"/>
  <c r="D1056" i="24" l="1"/>
  <c r="D1057" i="24" s="1"/>
  <c r="F1057" i="24"/>
  <c r="C1055" i="24"/>
  <c r="D1056" i="20"/>
  <c r="D1057" i="20" s="1"/>
  <c r="F1057" i="20"/>
  <c r="C1055" i="20"/>
  <c r="F1056" i="15"/>
  <c r="F1050" i="15"/>
  <c r="C1049" i="15"/>
  <c r="D1050" i="15"/>
  <c r="D1058" i="24" l="1"/>
  <c r="F1061" i="24"/>
  <c r="C1057" i="24"/>
  <c r="F1051" i="15"/>
  <c r="D1051" i="15"/>
  <c r="D1058" i="20"/>
  <c r="F1061" i="20"/>
  <c r="C1057" i="20"/>
  <c r="F1059" i="24" l="1"/>
  <c r="D1059" i="24"/>
  <c r="F1059" i="20"/>
  <c r="D1059" i="20"/>
  <c r="F1052" i="15"/>
  <c r="D1052" i="15"/>
  <c r="F1060" i="24" l="1"/>
  <c r="D1060" i="24"/>
  <c r="D1061" i="24" s="1"/>
  <c r="F1053" i="15"/>
  <c r="D1053" i="15"/>
  <c r="F1060" i="20"/>
  <c r="D1060" i="20"/>
  <c r="D1061" i="20" s="1"/>
  <c r="D1062" i="24" l="1"/>
  <c r="F1067" i="24"/>
  <c r="C1061" i="24"/>
  <c r="D1062" i="20"/>
  <c r="F1067" i="20"/>
  <c r="C1061" i="20"/>
  <c r="F1054" i="15"/>
  <c r="D1054" i="15"/>
  <c r="D1063" i="24" l="1"/>
  <c r="F1063" i="24"/>
  <c r="F1055" i="15"/>
  <c r="D1055" i="15"/>
  <c r="D1056" i="15" s="1"/>
  <c r="F1063" i="20"/>
  <c r="D1063" i="20"/>
  <c r="D1064" i="24" l="1"/>
  <c r="F1064" i="24"/>
  <c r="F1064" i="20"/>
  <c r="D1064" i="20"/>
  <c r="D1057" i="15"/>
  <c r="D1058" i="15" s="1"/>
  <c r="F1058" i="15"/>
  <c r="F1057" i="15"/>
  <c r="C1056" i="15"/>
  <c r="D1065" i="24" l="1"/>
  <c r="F1065" i="24"/>
  <c r="D1059" i="15"/>
  <c r="C1058" i="15"/>
  <c r="F1062" i="15"/>
  <c r="F1059" i="15"/>
  <c r="F1065" i="20"/>
  <c r="D1065" i="20"/>
  <c r="D1066" i="24" l="1"/>
  <c r="D1067" i="24" s="1"/>
  <c r="F1066" i="24"/>
  <c r="F1066" i="20"/>
  <c r="D1066" i="20"/>
  <c r="D1067" i="20" s="1"/>
  <c r="F1060" i="15"/>
  <c r="D1060" i="15"/>
  <c r="C1067" i="24" l="1"/>
  <c r="D1068" i="24"/>
  <c r="F1072" i="24"/>
  <c r="F1072" i="20"/>
  <c r="C1067" i="20"/>
  <c r="D1068" i="20"/>
  <c r="F1061" i="15"/>
  <c r="D1061" i="15"/>
  <c r="D1062" i="15" s="1"/>
  <c r="F1069" i="24" l="1"/>
  <c r="D1069" i="24"/>
  <c r="F1069" i="20"/>
  <c r="D1069" i="20"/>
  <c r="F1063" i="15"/>
  <c r="C1062" i="15"/>
  <c r="D1063" i="15"/>
  <c r="F1068" i="15"/>
  <c r="D1070" i="24" l="1"/>
  <c r="F1070" i="24"/>
  <c r="F1070" i="20"/>
  <c r="D1070" i="20"/>
  <c r="F1064" i="15"/>
  <c r="D1064" i="15"/>
  <c r="D1071" i="24" l="1"/>
  <c r="D1072" i="24" s="1"/>
  <c r="F1071" i="24"/>
  <c r="F1071" i="20"/>
  <c r="D1071" i="20"/>
  <c r="D1072" i="20" s="1"/>
  <c r="F1065" i="15"/>
  <c r="D1065" i="15"/>
  <c r="C1072" i="24" l="1"/>
  <c r="F1078" i="24" s="1"/>
  <c r="D1073" i="24"/>
  <c r="F1066" i="15"/>
  <c r="D1066" i="15"/>
  <c r="D1073" i="20"/>
  <c r="C1072" i="20"/>
  <c r="F1078" i="20" s="1"/>
  <c r="F1074" i="24" l="1"/>
  <c r="D1074" i="24"/>
  <c r="F1074" i="20"/>
  <c r="D1074" i="20"/>
  <c r="D1067" i="15"/>
  <c r="D1068" i="15" s="1"/>
  <c r="F1067" i="15"/>
  <c r="F1075" i="24" l="1"/>
  <c r="D1075" i="24"/>
  <c r="F1069" i="15"/>
  <c r="C1068" i="15"/>
  <c r="D1069" i="15"/>
  <c r="F1073" i="15"/>
  <c r="F1075" i="20"/>
  <c r="D1075" i="20"/>
  <c r="F1076" i="24" l="1"/>
  <c r="D1076" i="24"/>
  <c r="F1070" i="15"/>
  <c r="D1070" i="15"/>
  <c r="F1076" i="20"/>
  <c r="D1076" i="20"/>
  <c r="F1077" i="24" l="1"/>
  <c r="D1077" i="24"/>
  <c r="D1078" i="24" s="1"/>
  <c r="F1077" i="20"/>
  <c r="D1077" i="20"/>
  <c r="D1078" i="20" s="1"/>
  <c r="F1071" i="15"/>
  <c r="D1071" i="15"/>
  <c r="C1078" i="24" l="1"/>
  <c r="F1080" i="24" s="1"/>
  <c r="D1079" i="24"/>
  <c r="D1080" i="24" s="1"/>
  <c r="F1072" i="15"/>
  <c r="D1072" i="15"/>
  <c r="D1073" i="15" s="1"/>
  <c r="D1079" i="20"/>
  <c r="D1080" i="20" s="1"/>
  <c r="C1078" i="20"/>
  <c r="F1080" i="20" s="1"/>
  <c r="C1080" i="24" l="1"/>
  <c r="F1083" i="24" s="1"/>
  <c r="D1081" i="24"/>
  <c r="D1081" i="20"/>
  <c r="C1080" i="20"/>
  <c r="F1083" i="20" s="1"/>
  <c r="F1074" i="15"/>
  <c r="C1073" i="15"/>
  <c r="D1074" i="15"/>
  <c r="F1079" i="15"/>
  <c r="F1082" i="24" l="1"/>
  <c r="D1082" i="24"/>
  <c r="D1083" i="24" s="1"/>
  <c r="F1075" i="15"/>
  <c r="D1075" i="15"/>
  <c r="F1082" i="20"/>
  <c r="D1082" i="20"/>
  <c r="D1083" i="20" s="1"/>
  <c r="D1084" i="24" l="1"/>
  <c r="C1083" i="24"/>
  <c r="F1086" i="24" s="1"/>
  <c r="C1083" i="20"/>
  <c r="F1086" i="20" s="1"/>
  <c r="D1084" i="20"/>
  <c r="F1076" i="15"/>
  <c r="D1076" i="15"/>
  <c r="F1085" i="24" l="1"/>
  <c r="D1085" i="24"/>
  <c r="D1086" i="24" s="1"/>
  <c r="F1077" i="15"/>
  <c r="D1077" i="15"/>
  <c r="D1085" i="20"/>
  <c r="D1086" i="20" s="1"/>
  <c r="F1085" i="20"/>
  <c r="C1086" i="24" l="1"/>
  <c r="F1089" i="24" s="1"/>
  <c r="D1087" i="24"/>
  <c r="C1086" i="20"/>
  <c r="F1089" i="20" s="1"/>
  <c r="D1087" i="20"/>
  <c r="D1078" i="15"/>
  <c r="D1079" i="15" s="1"/>
  <c r="F1078" i="15"/>
  <c r="D1088" i="24" l="1"/>
  <c r="D1089" i="24" s="1"/>
  <c r="F1088" i="24"/>
  <c r="F1080" i="15"/>
  <c r="C1079" i="15"/>
  <c r="D1080" i="15"/>
  <c r="D1081" i="15" s="1"/>
  <c r="F1081" i="15"/>
  <c r="F1088" i="20"/>
  <c r="D1088" i="20"/>
  <c r="D1089" i="20" s="1"/>
  <c r="C1089" i="24" l="1"/>
  <c r="F1092" i="24" s="1"/>
  <c r="D1090" i="24"/>
  <c r="F1082" i="15"/>
  <c r="C1081" i="15"/>
  <c r="F1084" i="15"/>
  <c r="D1082" i="15"/>
  <c r="D1090" i="20"/>
  <c r="C1089" i="20"/>
  <c r="F1092" i="20" s="1"/>
  <c r="F1091" i="24" l="1"/>
  <c r="D1091" i="24"/>
  <c r="F1083" i="15"/>
  <c r="D1083" i="15"/>
  <c r="D1084" i="15" s="1"/>
  <c r="F1091" i="20"/>
  <c r="D1091" i="20"/>
  <c r="D1102" i="24" l="1"/>
  <c r="D1092" i="24"/>
  <c r="F1085" i="15"/>
  <c r="C1084" i="15"/>
  <c r="F1087" i="15"/>
  <c r="D1085" i="15"/>
  <c r="D1092" i="20"/>
  <c r="D1102" i="20"/>
  <c r="D1103" i="24" l="1"/>
  <c r="C1102" i="24"/>
  <c r="F1105" i="24" s="1"/>
  <c r="D1093" i="24"/>
  <c r="D1094" i="24" s="1"/>
  <c r="D1095" i="24" s="1"/>
  <c r="D1096" i="24" s="1"/>
  <c r="D1097" i="24" s="1"/>
  <c r="D1098" i="24" s="1"/>
  <c r="D1099" i="24" s="1"/>
  <c r="C1092" i="24"/>
  <c r="F1102" i="24" s="1"/>
  <c r="D1086" i="15"/>
  <c r="D1087" i="15" s="1"/>
  <c r="F1086" i="15"/>
  <c r="C1102" i="20"/>
  <c r="F1105" i="20" s="1"/>
  <c r="D1103" i="20"/>
  <c r="D1093" i="20"/>
  <c r="D1094" i="20" s="1"/>
  <c r="D1095" i="20" s="1"/>
  <c r="D1096" i="20" s="1"/>
  <c r="D1097" i="20" s="1"/>
  <c r="D1098" i="20" s="1"/>
  <c r="D1099" i="20" s="1"/>
  <c r="C1092" i="20"/>
  <c r="F1102" i="20" s="1"/>
  <c r="D1104" i="24" l="1"/>
  <c r="D1105" i="24" s="1"/>
  <c r="F1104" i="24"/>
  <c r="D1100" i="24"/>
  <c r="D1101" i="24" s="1"/>
  <c r="F1033" i="24" s="1"/>
  <c r="F855" i="24"/>
  <c r="F681" i="24"/>
  <c r="F1104" i="20"/>
  <c r="D1104" i="20"/>
  <c r="D1105" i="20" s="1"/>
  <c r="D1100" i="20"/>
  <c r="D1101" i="20" s="1"/>
  <c r="F1033" i="20" s="1"/>
  <c r="F855" i="20"/>
  <c r="F681" i="20"/>
  <c r="D1088" i="15"/>
  <c r="F1090" i="15"/>
  <c r="F1088" i="15"/>
  <c r="C1087" i="15"/>
  <c r="D1106" i="24" l="1"/>
  <c r="C1105" i="24"/>
  <c r="F1115" i="24" s="1"/>
  <c r="F1089" i="15"/>
  <c r="D1089" i="15"/>
  <c r="D1090" i="15" s="1"/>
  <c r="C1105" i="20"/>
  <c r="F1115" i="20" s="1"/>
  <c r="D1106" i="20"/>
  <c r="D1107" i="24" l="1"/>
  <c r="F1107" i="24"/>
  <c r="F1107" i="20"/>
  <c r="D1107" i="20"/>
  <c r="F1091" i="15"/>
  <c r="C1090" i="15"/>
  <c r="F1093" i="15"/>
  <c r="D1091" i="15"/>
  <c r="F1108" i="24" l="1"/>
  <c r="D1108" i="24"/>
  <c r="D1092" i="15"/>
  <c r="D1093" i="15" s="1"/>
  <c r="F1092" i="15"/>
  <c r="D1108" i="20"/>
  <c r="F1108" i="20"/>
  <c r="F1109" i="24" l="1"/>
  <c r="D1109" i="24"/>
  <c r="F1109" i="20"/>
  <c r="D1109" i="20"/>
  <c r="D1094" i="15"/>
  <c r="F1096" i="15"/>
  <c r="C1093" i="15"/>
  <c r="F1094" i="15"/>
  <c r="F1110" i="24" l="1"/>
  <c r="D1110" i="24"/>
  <c r="D1110" i="20"/>
  <c r="F1110" i="20"/>
  <c r="D1095" i="15"/>
  <c r="D1096" i="15" s="1"/>
  <c r="F1095" i="15"/>
  <c r="D1111" i="24" l="1"/>
  <c r="F1111" i="24"/>
  <c r="F1097" i="15"/>
  <c r="C1096" i="15"/>
  <c r="D1097" i="15"/>
  <c r="F1111" i="20"/>
  <c r="D1111" i="20"/>
  <c r="F1112" i="24" l="1"/>
  <c r="D1112" i="24"/>
  <c r="F1098" i="15"/>
  <c r="D1098" i="15"/>
  <c r="F1112" i="20"/>
  <c r="D1112" i="20"/>
  <c r="F1113" i="24" l="1"/>
  <c r="D1113" i="24"/>
  <c r="F1099" i="15"/>
  <c r="D1099" i="15"/>
  <c r="D1113" i="20"/>
  <c r="F1113" i="20"/>
  <c r="D1114" i="24" l="1"/>
  <c r="D1115" i="24" s="1"/>
  <c r="F1114" i="24"/>
  <c r="F1100" i="15"/>
  <c r="D1100" i="15"/>
  <c r="F1114" i="20"/>
  <c r="D1114" i="20"/>
  <c r="D1115" i="20" s="1"/>
  <c r="C1115" i="24" l="1"/>
  <c r="F1118" i="24" s="1"/>
  <c r="D1116" i="24"/>
  <c r="D1116" i="20"/>
  <c r="C1115" i="20"/>
  <c r="F1118" i="20" s="1"/>
  <c r="F1101" i="15"/>
  <c r="D1101" i="15"/>
  <c r="D1117" i="24" l="1"/>
  <c r="D1118" i="24" s="1"/>
  <c r="F1117" i="24"/>
  <c r="F1102" i="15"/>
  <c r="D1102" i="15"/>
  <c r="F1117" i="20"/>
  <c r="D1117" i="20"/>
  <c r="D1118" i="20" s="1"/>
  <c r="D1119" i="24" l="1"/>
  <c r="C1118" i="24"/>
  <c r="F1121" i="24" s="1"/>
  <c r="F1103" i="15"/>
  <c r="D1103" i="15"/>
  <c r="C1118" i="20"/>
  <c r="F1121" i="20" s="1"/>
  <c r="D1119" i="20"/>
  <c r="F1120" i="24" l="1"/>
  <c r="D1120" i="24"/>
  <c r="D1121" i="24" s="1"/>
  <c r="F1120" i="20"/>
  <c r="D1120" i="20"/>
  <c r="D1121" i="20" s="1"/>
  <c r="D1104" i="15"/>
  <c r="F1104" i="15"/>
  <c r="D1122" i="24" l="1"/>
  <c r="C1121" i="24"/>
  <c r="F1125" i="24" s="1"/>
  <c r="F1105" i="15"/>
  <c r="D1105" i="15"/>
  <c r="D1106" i="15" s="1"/>
  <c r="F1106" i="15"/>
  <c r="C1121" i="20"/>
  <c r="F1125" i="20" s="1"/>
  <c r="D1122" i="20"/>
  <c r="D1123" i="24" l="1"/>
  <c r="F1123" i="24"/>
  <c r="F1116" i="15"/>
  <c r="D1107" i="15"/>
  <c r="D1108" i="15" s="1"/>
  <c r="D1109" i="15" s="1"/>
  <c r="D1110" i="15" s="1"/>
  <c r="D1111" i="15" s="1"/>
  <c r="D1112" i="15" s="1"/>
  <c r="D1113" i="15" s="1"/>
  <c r="D1114" i="15" s="1"/>
  <c r="D1115" i="15" s="1"/>
  <c r="D1116" i="15" s="1"/>
  <c r="C1106" i="15"/>
  <c r="F1123" i="20"/>
  <c r="D1123" i="20"/>
  <c r="F1124" i="24" l="1"/>
  <c r="D1124" i="24"/>
  <c r="D1125" i="24" s="1"/>
  <c r="F1117" i="15"/>
  <c r="C1116" i="15"/>
  <c r="F1119" i="15"/>
  <c r="D1117" i="15"/>
  <c r="F1124" i="20"/>
  <c r="D1124" i="20"/>
  <c r="D1125" i="20" s="1"/>
  <c r="C1125" i="24" l="1"/>
  <c r="F1128" i="24" s="1"/>
  <c r="D1126" i="24"/>
  <c r="F1118" i="15"/>
  <c r="D1118" i="15"/>
  <c r="D1119" i="15" s="1"/>
  <c r="D1126" i="20"/>
  <c r="C1125" i="20"/>
  <c r="F1128" i="20" s="1"/>
  <c r="F1127" i="24" l="1"/>
  <c r="D1127" i="24"/>
  <c r="D1128" i="24" s="1"/>
  <c r="D1127" i="20"/>
  <c r="D1128" i="20" s="1"/>
  <c r="F1127" i="20"/>
  <c r="F1120" i="15"/>
  <c r="C1119" i="15"/>
  <c r="D1120" i="15"/>
  <c r="F1122" i="15"/>
  <c r="D1129" i="24" l="1"/>
  <c r="C1128" i="24"/>
  <c r="D1121" i="15"/>
  <c r="D1122" i="15" s="1"/>
  <c r="F1121" i="15"/>
  <c r="D1129" i="20"/>
  <c r="C1128" i="20"/>
  <c r="D1130" i="24" l="1"/>
  <c r="C1129" i="24"/>
  <c r="F1136" i="24" s="1"/>
  <c r="C1129" i="20"/>
  <c r="F1136" i="20" s="1"/>
  <c r="D1130" i="20"/>
  <c r="F1123" i="15"/>
  <c r="C1122" i="15"/>
  <c r="F1126" i="15"/>
  <c r="D1123" i="15"/>
  <c r="F1131" i="24" l="1"/>
  <c r="D1131" i="24"/>
  <c r="F1124" i="15"/>
  <c r="D1124" i="15"/>
  <c r="F1131" i="20"/>
  <c r="D1131" i="20"/>
  <c r="F1132" i="24" l="1"/>
  <c r="D1132" i="24"/>
  <c r="F1132" i="20"/>
  <c r="D1132" i="20"/>
  <c r="F1125" i="15"/>
  <c r="D1125" i="15"/>
  <c r="D1126" i="15" s="1"/>
  <c r="F1133" i="24" l="1"/>
  <c r="D1133" i="24"/>
  <c r="F1127" i="15"/>
  <c r="C1126" i="15"/>
  <c r="D1127" i="15"/>
  <c r="F1129" i="15"/>
  <c r="F1133" i="20"/>
  <c r="D1133" i="20"/>
  <c r="F1134" i="24" l="1"/>
  <c r="D1134" i="24"/>
  <c r="F1128" i="15"/>
  <c r="D1128" i="15"/>
  <c r="D1129" i="15" s="1"/>
  <c r="F1134" i="20"/>
  <c r="D1134" i="20"/>
  <c r="F1135" i="24" l="1"/>
  <c r="D1135" i="24"/>
  <c r="D1136" i="24" s="1"/>
  <c r="F1135" i="20"/>
  <c r="D1135" i="20"/>
  <c r="D1136" i="20" s="1"/>
  <c r="D1130" i="15"/>
  <c r="C1129" i="15"/>
  <c r="D1137" i="24" l="1"/>
  <c r="C1136" i="24"/>
  <c r="F1141" i="24" s="1"/>
  <c r="C1136" i="20"/>
  <c r="F1141" i="20" s="1"/>
  <c r="D1137" i="20"/>
  <c r="D1131" i="15"/>
  <c r="C1130" i="15"/>
  <c r="F1137" i="15"/>
  <c r="F1131" i="15"/>
  <c r="F1138" i="24" l="1"/>
  <c r="D1138" i="24"/>
  <c r="F1138" i="20"/>
  <c r="D1138" i="20"/>
  <c r="F1132" i="15"/>
  <c r="D1132" i="15"/>
  <c r="D1139" i="24" l="1"/>
  <c r="F1139" i="24"/>
  <c r="D1133" i="15"/>
  <c r="F1133" i="15"/>
  <c r="F1139" i="20"/>
  <c r="D1139" i="20"/>
  <c r="F1140" i="24" l="1"/>
  <c r="D1140" i="24"/>
  <c r="D1141" i="24" s="1"/>
  <c r="D1140" i="20"/>
  <c r="D1141" i="20" s="1"/>
  <c r="F1140" i="20"/>
  <c r="F1134" i="15"/>
  <c r="D1134" i="15"/>
  <c r="C1141" i="24" l="1"/>
  <c r="F1144" i="24" s="1"/>
  <c r="D1142" i="24"/>
  <c r="F1135" i="15"/>
  <c r="D1135" i="15"/>
  <c r="C1141" i="20"/>
  <c r="F1144" i="20" s="1"/>
  <c r="D1142" i="20"/>
  <c r="F1143" i="24" l="1"/>
  <c r="D1143" i="24"/>
  <c r="D1144" i="24" s="1"/>
  <c r="F1136" i="15"/>
  <c r="D1136" i="15"/>
  <c r="D1137" i="15" s="1"/>
  <c r="F1143" i="20"/>
  <c r="D1143" i="20"/>
  <c r="D1144" i="20" s="1"/>
  <c r="C1144" i="24" l="1"/>
  <c r="F1151" i="24" s="1"/>
  <c r="D1145" i="24"/>
  <c r="C1144" i="20"/>
  <c r="F1151" i="20" s="1"/>
  <c r="D1145" i="20"/>
  <c r="F1142" i="15"/>
  <c r="F1138" i="15"/>
  <c r="C1137" i="15"/>
  <c r="D1138" i="15"/>
  <c r="F1146" i="24" l="1"/>
  <c r="D1146" i="24"/>
  <c r="D1139" i="15"/>
  <c r="F1139" i="15"/>
  <c r="D1146" i="20"/>
  <c r="F1146" i="20"/>
  <c r="F1147" i="24" l="1"/>
  <c r="D1147" i="24"/>
  <c r="D1140" i="15"/>
  <c r="F1140" i="15"/>
  <c r="D1147" i="20"/>
  <c r="F1147" i="20"/>
  <c r="F1148" i="24" l="1"/>
  <c r="D1148" i="24"/>
  <c r="D1148" i="20"/>
  <c r="F1148" i="20"/>
  <c r="D1141" i="15"/>
  <c r="D1142" i="15" s="1"/>
  <c r="F1141" i="15"/>
  <c r="F1149" i="24" l="1"/>
  <c r="D1149" i="24"/>
  <c r="F1145" i="15"/>
  <c r="F1143" i="15"/>
  <c r="C1142" i="15"/>
  <c r="D1143" i="15"/>
  <c r="D1149" i="20"/>
  <c r="F1149" i="20"/>
  <c r="F1150" i="24" l="1"/>
  <c r="D1150" i="24"/>
  <c r="D1151" i="24" s="1"/>
  <c r="D1150" i="20"/>
  <c r="D1151" i="20" s="1"/>
  <c r="F1150" i="20"/>
  <c r="F1144" i="15"/>
  <c r="D1144" i="15"/>
  <c r="D1145" i="15" s="1"/>
  <c r="D1152" i="24" l="1"/>
  <c r="D1153" i="24" s="1"/>
  <c r="C1151" i="24"/>
  <c r="F1153" i="24" s="1"/>
  <c r="D1146" i="15"/>
  <c r="F1152" i="15"/>
  <c r="F1146" i="15"/>
  <c r="C1145" i="15"/>
  <c r="C1151" i="20"/>
  <c r="F1153" i="20" s="1"/>
  <c r="D1152" i="20"/>
  <c r="D1153" i="20" s="1"/>
  <c r="D1154" i="24" l="1"/>
  <c r="C1153" i="24"/>
  <c r="F1157" i="24" s="1"/>
  <c r="C1153" i="20"/>
  <c r="F1157" i="20" s="1"/>
  <c r="D1154" i="20"/>
  <c r="F1147" i="15"/>
  <c r="D1147" i="15"/>
  <c r="F1155" i="24" l="1"/>
  <c r="D1155" i="24"/>
  <c r="F1148" i="15"/>
  <c r="D1148" i="15"/>
  <c r="D1155" i="20"/>
  <c r="F1155" i="20"/>
  <c r="F1156" i="24" l="1"/>
  <c r="D1156" i="24"/>
  <c r="D1157" i="24" s="1"/>
  <c r="D1156" i="20"/>
  <c r="D1157" i="20" s="1"/>
  <c r="F1156" i="20"/>
  <c r="D1149" i="15"/>
  <c r="F1149" i="15"/>
  <c r="C1157" i="24" l="1"/>
  <c r="F1163" i="24" s="1"/>
  <c r="D1158" i="24"/>
  <c r="F1150" i="15"/>
  <c r="D1150" i="15"/>
  <c r="C1157" i="20"/>
  <c r="F1163" i="20" s="1"/>
  <c r="D1158" i="20"/>
  <c r="D1159" i="24" l="1"/>
  <c r="F1159" i="24"/>
  <c r="F1159" i="20"/>
  <c r="D1159" i="20"/>
  <c r="F1151" i="15"/>
  <c r="D1151" i="15"/>
  <c r="D1152" i="15" s="1"/>
  <c r="D1160" i="24" l="1"/>
  <c r="F1160" i="24"/>
  <c r="F1153" i="15"/>
  <c r="C1152" i="15"/>
  <c r="D1153" i="15"/>
  <c r="D1154" i="15" s="1"/>
  <c r="F1154" i="15"/>
  <c r="F1160" i="20"/>
  <c r="D1160" i="20"/>
  <c r="D1161" i="24" l="1"/>
  <c r="F1161" i="24"/>
  <c r="F1158" i="15"/>
  <c r="F1155" i="15"/>
  <c r="C1154" i="15"/>
  <c r="D1155" i="15"/>
  <c r="F1161" i="20"/>
  <c r="D1161" i="20"/>
  <c r="D1162" i="24" l="1"/>
  <c r="D1163" i="24" s="1"/>
  <c r="F1162" i="24"/>
  <c r="F1156" i="15"/>
  <c r="D1156" i="15"/>
  <c r="F1162" i="20"/>
  <c r="D1162" i="20"/>
  <c r="D1163" i="20" s="1"/>
  <c r="D1164" i="24" l="1"/>
  <c r="C1163" i="24"/>
  <c r="F1168" i="24" s="1"/>
  <c r="D1157" i="15"/>
  <c r="D1158" i="15" s="1"/>
  <c r="F1157" i="15"/>
  <c r="D1164" i="20"/>
  <c r="C1163" i="20"/>
  <c r="F1168" i="20" s="1"/>
  <c r="F1165" i="24" l="1"/>
  <c r="D1165" i="24"/>
  <c r="F1165" i="20"/>
  <c r="D1165" i="20"/>
  <c r="F1164" i="15"/>
  <c r="F1159" i="15"/>
  <c r="C1158" i="15"/>
  <c r="D1159" i="15"/>
  <c r="F1166" i="24" l="1"/>
  <c r="D1166" i="24"/>
  <c r="F1166" i="20"/>
  <c r="D1166" i="20"/>
  <c r="F1160" i="15"/>
  <c r="D1160" i="15"/>
  <c r="F1167" i="24" l="1"/>
  <c r="D1167" i="24"/>
  <c r="D1168" i="24" s="1"/>
  <c r="F1161" i="15"/>
  <c r="D1161" i="15"/>
  <c r="F1167" i="20"/>
  <c r="D1167" i="20"/>
  <c r="D1168" i="20" s="1"/>
  <c r="D1169" i="24" l="1"/>
  <c r="C1168" i="24"/>
  <c r="F1174" i="24" s="1"/>
  <c r="D1162" i="15"/>
  <c r="F1162" i="15"/>
  <c r="C1168" i="20"/>
  <c r="F1174" i="20" s="1"/>
  <c r="D1169" i="20"/>
  <c r="D1170" i="24" l="1"/>
  <c r="F1170" i="24"/>
  <c r="D1170" i="20"/>
  <c r="F1170" i="20"/>
  <c r="F1163" i="15"/>
  <c r="D1163" i="15"/>
  <c r="D1164" i="15" s="1"/>
  <c r="F1171" i="24" l="1"/>
  <c r="D1171" i="24"/>
  <c r="F1165" i="15"/>
  <c r="C1164" i="15"/>
  <c r="F1169" i="15"/>
  <c r="D1165" i="15"/>
  <c r="D1171" i="20"/>
  <c r="F1171" i="20"/>
  <c r="D1172" i="24" l="1"/>
  <c r="F1172" i="24"/>
  <c r="D1166" i="15"/>
  <c r="F1166" i="15"/>
  <c r="D1172" i="20"/>
  <c r="F1172" i="20"/>
  <c r="F1173" i="24" l="1"/>
  <c r="D1173" i="24"/>
  <c r="D1174" i="24" s="1"/>
  <c r="D1173" i="20"/>
  <c r="D1174" i="20" s="1"/>
  <c r="F1173" i="20"/>
  <c r="F1167" i="15"/>
  <c r="D1167" i="15"/>
  <c r="D1175" i="24" l="1"/>
  <c r="D1176" i="24" s="1"/>
  <c r="C1174" i="24"/>
  <c r="F1176" i="24"/>
  <c r="F1168" i="15"/>
  <c r="D1168" i="15"/>
  <c r="D1169" i="15" s="1"/>
  <c r="C1174" i="20"/>
  <c r="D1175" i="20"/>
  <c r="D1176" i="20" s="1"/>
  <c r="F1176" i="20"/>
  <c r="F1179" i="24" l="1"/>
  <c r="C1176" i="24"/>
  <c r="D1177" i="24"/>
  <c r="F1179" i="20"/>
  <c r="C1176" i="20"/>
  <c r="D1177" i="20"/>
  <c r="F1175" i="15"/>
  <c r="F1170" i="15"/>
  <c r="C1169" i="15"/>
  <c r="D1170" i="15"/>
  <c r="D1178" i="24" l="1"/>
  <c r="D1179" i="24" s="1"/>
  <c r="F1178" i="24"/>
  <c r="F1178" i="20"/>
  <c r="D1178" i="20"/>
  <c r="D1179" i="20" s="1"/>
  <c r="F1171" i="15"/>
  <c r="D1171" i="15"/>
  <c r="F1182" i="24" l="1"/>
  <c r="C1179" i="24"/>
  <c r="D1180" i="24"/>
  <c r="D1180" i="20"/>
  <c r="F1182" i="20"/>
  <c r="C1179" i="20"/>
  <c r="F1172" i="15"/>
  <c r="D1172" i="15"/>
  <c r="F1181" i="24" l="1"/>
  <c r="D1181" i="24"/>
  <c r="D1182" i="24" s="1"/>
  <c r="F1173" i="15"/>
  <c r="D1173" i="15"/>
  <c r="D1181" i="20"/>
  <c r="D1182" i="20" s="1"/>
  <c r="F1181" i="20"/>
  <c r="F1185" i="24" l="1"/>
  <c r="D1183" i="24"/>
  <c r="C1182" i="24"/>
  <c r="D1183" i="20"/>
  <c r="F1185" i="20"/>
  <c r="C1182" i="20"/>
  <c r="D1174" i="15"/>
  <c r="D1175" i="15" s="1"/>
  <c r="F1174" i="15"/>
  <c r="F1184" i="24" l="1"/>
  <c r="D1184" i="24"/>
  <c r="D1185" i="24" s="1"/>
  <c r="F1177" i="15"/>
  <c r="D1176" i="15"/>
  <c r="D1177" i="15" s="1"/>
  <c r="C1175" i="15"/>
  <c r="F1176" i="15"/>
  <c r="D1184" i="20"/>
  <c r="D1185" i="20" s="1"/>
  <c r="F1184" i="20"/>
  <c r="F1188" i="24" l="1"/>
  <c r="D1186" i="24"/>
  <c r="C1185" i="24"/>
  <c r="F1178" i="15"/>
  <c r="C1177" i="15"/>
  <c r="F1180" i="15"/>
  <c r="D1178" i="15"/>
  <c r="D1186" i="20"/>
  <c r="F1188" i="20"/>
  <c r="C1185" i="20"/>
  <c r="D1187" i="24" l="1"/>
  <c r="D1188" i="24" s="1"/>
  <c r="F1187" i="24"/>
  <c r="F1179" i="15"/>
  <c r="D1179" i="15"/>
  <c r="D1180" i="15" s="1"/>
  <c r="F1187" i="20"/>
  <c r="D1187" i="20"/>
  <c r="D1188" i="20" s="1"/>
  <c r="D1189" i="24" l="1"/>
  <c r="F1191" i="24"/>
  <c r="C1188" i="24"/>
  <c r="F1183" i="15"/>
  <c r="F1181" i="15"/>
  <c r="C1180" i="15"/>
  <c r="D1181" i="15"/>
  <c r="F1191" i="20"/>
  <c r="C1188" i="20"/>
  <c r="D1189" i="20"/>
  <c r="D1190" i="24" l="1"/>
  <c r="D1191" i="24" s="1"/>
  <c r="F1190" i="24"/>
  <c r="D1190" i="20"/>
  <c r="D1191" i="20" s="1"/>
  <c r="F1190" i="20"/>
  <c r="F1182" i="15"/>
  <c r="D1182" i="15"/>
  <c r="D1183" i="15" s="1"/>
  <c r="D1192" i="24" l="1"/>
  <c r="C1191" i="24"/>
  <c r="F1198" i="24"/>
  <c r="F1186" i="15"/>
  <c r="F1184" i="15"/>
  <c r="C1183" i="15"/>
  <c r="D1184" i="15"/>
  <c r="C1191" i="20"/>
  <c r="F1198" i="20"/>
  <c r="D1192" i="20"/>
  <c r="F1193" i="24" l="1"/>
  <c r="D1193" i="24"/>
  <c r="F1185" i="15"/>
  <c r="D1185" i="15"/>
  <c r="D1186" i="15" s="1"/>
  <c r="F1193" i="20"/>
  <c r="D1193" i="20"/>
  <c r="F1194" i="24" l="1"/>
  <c r="D1194" i="24"/>
  <c r="F1194" i="20"/>
  <c r="D1194" i="20"/>
  <c r="D1187" i="15"/>
  <c r="F1189" i="15"/>
  <c r="F1187" i="15"/>
  <c r="C1186" i="15"/>
  <c r="F1195" i="24" l="1"/>
  <c r="D1195" i="24"/>
  <c r="F1188" i="15"/>
  <c r="D1188" i="15"/>
  <c r="D1189" i="15" s="1"/>
  <c r="F1195" i="20"/>
  <c r="D1195" i="20"/>
  <c r="D1196" i="24" l="1"/>
  <c r="F1196" i="24"/>
  <c r="F1196" i="20"/>
  <c r="D1196" i="20"/>
  <c r="F1190" i="15"/>
  <c r="C1189" i="15"/>
  <c r="F1192" i="15"/>
  <c r="D1190" i="15"/>
  <c r="D1197" i="24" l="1"/>
  <c r="D1198" i="24" s="1"/>
  <c r="F1197" i="24"/>
  <c r="F1191" i="15"/>
  <c r="D1191" i="15"/>
  <c r="D1192" i="15" s="1"/>
  <c r="F1197" i="20"/>
  <c r="D1197" i="20"/>
  <c r="D1198" i="20" s="1"/>
  <c r="C1198" i="24" l="1"/>
  <c r="D1199" i="24"/>
  <c r="C1198" i="20"/>
  <c r="D1199" i="20"/>
  <c r="F1193" i="15"/>
  <c r="C1192" i="15"/>
  <c r="D1193" i="15"/>
  <c r="F1199" i="15"/>
  <c r="F1200" i="24" l="1"/>
  <c r="D1200" i="24"/>
  <c r="D1201" i="24" s="1"/>
  <c r="D1200" i="20"/>
  <c r="D1201" i="20" s="1"/>
  <c r="F1200" i="20"/>
  <c r="D1194" i="15"/>
  <c r="F1194" i="15"/>
  <c r="C1201" i="24" l="1"/>
  <c r="D1202" i="24"/>
  <c r="F1195" i="15"/>
  <c r="D1195" i="15"/>
  <c r="C1201" i="20"/>
  <c r="D1202" i="20"/>
  <c r="D1203" i="24" l="1"/>
  <c r="F1208" i="24"/>
  <c r="C1202" i="24"/>
  <c r="F1208" i="20"/>
  <c r="C1202" i="20"/>
  <c r="D1203" i="20"/>
  <c r="F1196" i="15"/>
  <c r="D1196" i="15"/>
  <c r="D1204" i="24" l="1"/>
  <c r="F1204" i="24"/>
  <c r="F1204" i="20"/>
  <c r="D1204" i="20"/>
  <c r="F1197" i="15"/>
  <c r="D1197" i="15"/>
  <c r="F1205" i="24" l="1"/>
  <c r="D1205" i="24"/>
  <c r="F1198" i="15"/>
  <c r="D1198" i="15"/>
  <c r="D1199" i="15" s="1"/>
  <c r="F1205" i="20"/>
  <c r="D1205" i="20"/>
  <c r="D1206" i="24" l="1"/>
  <c r="F1206" i="24"/>
  <c r="F1206" i="20"/>
  <c r="D1206" i="20"/>
  <c r="F1200" i="15"/>
  <c r="C1199" i="15"/>
  <c r="D1200" i="15"/>
  <c r="F1207" i="24" l="1"/>
  <c r="D1207" i="24"/>
  <c r="D1208" i="24" s="1"/>
  <c r="F1207" i="20"/>
  <c r="D1207" i="20"/>
  <c r="D1208" i="20" s="1"/>
  <c r="F1201" i="15"/>
  <c r="D1201" i="15"/>
  <c r="D1202" i="15" s="1"/>
  <c r="F1211" i="24" l="1"/>
  <c r="C1208" i="24"/>
  <c r="F1209" i="24"/>
  <c r="D1209" i="24"/>
  <c r="C1202" i="15"/>
  <c r="D1203" i="15"/>
  <c r="F1209" i="20"/>
  <c r="C1208" i="20"/>
  <c r="F1211" i="20"/>
  <c r="D1209" i="20"/>
  <c r="F1210" i="24" l="1"/>
  <c r="D1210" i="24"/>
  <c r="D1211" i="24" s="1"/>
  <c r="D1210" i="20"/>
  <c r="D1211" i="20" s="1"/>
  <c r="F1210" i="20"/>
  <c r="F1209" i="15"/>
  <c r="F1204" i="15"/>
  <c r="C1203" i="15"/>
  <c r="D1204" i="15"/>
  <c r="F1212" i="24" l="1"/>
  <c r="C1211" i="24"/>
  <c r="D1212" i="24"/>
  <c r="F1214" i="24"/>
  <c r="F1205" i="15"/>
  <c r="D1205" i="15"/>
  <c r="F1214" i="20"/>
  <c r="F1212" i="20"/>
  <c r="C1211" i="20"/>
  <c r="D1212" i="20"/>
  <c r="F1213" i="24" l="1"/>
  <c r="D1213" i="24"/>
  <c r="D1214" i="24" s="1"/>
  <c r="F1213" i="20"/>
  <c r="D1213" i="20"/>
  <c r="D1214" i="20" s="1"/>
  <c r="F1206" i="15"/>
  <c r="D1206" i="15"/>
  <c r="F1215" i="24" l="1"/>
  <c r="C1214" i="24"/>
  <c r="D1215" i="24"/>
  <c r="D1216" i="24" s="1"/>
  <c r="F1207" i="15"/>
  <c r="D1207" i="15"/>
  <c r="F1215" i="20"/>
  <c r="C1214" i="20"/>
  <c r="D1215" i="20"/>
  <c r="D1216" i="20" s="1"/>
  <c r="D1217" i="24" l="1"/>
  <c r="D1218" i="24" s="1"/>
  <c r="F1218" i="24"/>
  <c r="F1217" i="24"/>
  <c r="C1216" i="24"/>
  <c r="F1208" i="15"/>
  <c r="D1208" i="15"/>
  <c r="D1209" i="15" s="1"/>
  <c r="F1217" i="20"/>
  <c r="D1217" i="20"/>
  <c r="D1218" i="20" s="1"/>
  <c r="F1218" i="20"/>
  <c r="C1216" i="20"/>
  <c r="D1219" i="24" l="1"/>
  <c r="C1218" i="24"/>
  <c r="F1224" i="24"/>
  <c r="C1218" i="20"/>
  <c r="D1219" i="20"/>
  <c r="F1224" i="20"/>
  <c r="F1212" i="15"/>
  <c r="F1210" i="15"/>
  <c r="C1209" i="15"/>
  <c r="D1210" i="15"/>
  <c r="F1220" i="24" l="1"/>
  <c r="D1220" i="24"/>
  <c r="F1211" i="15"/>
  <c r="D1211" i="15"/>
  <c r="D1212" i="15" s="1"/>
  <c r="F1220" i="20"/>
  <c r="D1220" i="20"/>
  <c r="F1221" i="24" l="1"/>
  <c r="D1221" i="24"/>
  <c r="D1221" i="20"/>
  <c r="F1221" i="20"/>
  <c r="F1215" i="15"/>
  <c r="D1213" i="15"/>
  <c r="F1213" i="15"/>
  <c r="C1212" i="15"/>
  <c r="D1222" i="24" l="1"/>
  <c r="F1222" i="24"/>
  <c r="F1214" i="15"/>
  <c r="D1214" i="15"/>
  <c r="D1215" i="15" s="1"/>
  <c r="F1222" i="20"/>
  <c r="D1222" i="20"/>
  <c r="F1223" i="24" l="1"/>
  <c r="D1223" i="24"/>
  <c r="D1224" i="24" s="1"/>
  <c r="F1223" i="20"/>
  <c r="D1223" i="20"/>
  <c r="D1224" i="20" s="1"/>
  <c r="F1217" i="15"/>
  <c r="F1216" i="15"/>
  <c r="C1215" i="15"/>
  <c r="D1216" i="15"/>
  <c r="D1217" i="15" s="1"/>
  <c r="C1224" i="24" l="1"/>
  <c r="D1225" i="24"/>
  <c r="F1218" i="15"/>
  <c r="C1217" i="15"/>
  <c r="D1218" i="15"/>
  <c r="D1219" i="15" s="1"/>
  <c r="F1219" i="15"/>
  <c r="C1224" i="20"/>
  <c r="D1225" i="20"/>
  <c r="D1226" i="24" l="1"/>
  <c r="F1226" i="24"/>
  <c r="F1225" i="15"/>
  <c r="F1220" i="15"/>
  <c r="C1219" i="15"/>
  <c r="D1220" i="15"/>
  <c r="F1226" i="20"/>
  <c r="D1226" i="20"/>
  <c r="F1227" i="24" l="1"/>
  <c r="D1227" i="24"/>
  <c r="F1221" i="15"/>
  <c r="D1221" i="15"/>
  <c r="F1227" i="20"/>
  <c r="D1227" i="20"/>
  <c r="D1228" i="24" l="1"/>
  <c r="F1228" i="24"/>
  <c r="F1228" i="20"/>
  <c r="D1228" i="20"/>
  <c r="F1222" i="15"/>
  <c r="D1222" i="15"/>
  <c r="F1229" i="24" l="1"/>
  <c r="D1229" i="24"/>
  <c r="D1230" i="24" s="1"/>
  <c r="D1223" i="15"/>
  <c r="F1223" i="15"/>
  <c r="F1229" i="20"/>
  <c r="D1229" i="20"/>
  <c r="D1230" i="20" s="1"/>
  <c r="C1230" i="24" l="1"/>
  <c r="D1231" i="24"/>
  <c r="C1230" i="20"/>
  <c r="D1231" i="20"/>
  <c r="F1224" i="15"/>
  <c r="D1224" i="15"/>
  <c r="D1225" i="15" s="1"/>
  <c r="D1232" i="24" l="1"/>
  <c r="F1234" i="24"/>
  <c r="C1231" i="24"/>
  <c r="D1232" i="20"/>
  <c r="F1234" i="20"/>
  <c r="C1231" i="20"/>
  <c r="F1226" i="15"/>
  <c r="C1225" i="15"/>
  <c r="D1226" i="15"/>
  <c r="D1233" i="24" l="1"/>
  <c r="D1234" i="24" s="1"/>
  <c r="F1233" i="24"/>
  <c r="F1227" i="15"/>
  <c r="D1227" i="15"/>
  <c r="F1233" i="20"/>
  <c r="D1233" i="20"/>
  <c r="D1234" i="20" s="1"/>
  <c r="D1235" i="24" l="1"/>
  <c r="F1238" i="24"/>
  <c r="C1234" i="24"/>
  <c r="C1234" i="20"/>
  <c r="D1235" i="20"/>
  <c r="F1238" i="20"/>
  <c r="F1228" i="15"/>
  <c r="D1228" i="15"/>
  <c r="F1236" i="24" l="1"/>
  <c r="D1236" i="24"/>
  <c r="F1236" i="20"/>
  <c r="D1236" i="20"/>
  <c r="D1229" i="15"/>
  <c r="F1229" i="15"/>
  <c r="D1237" i="24" l="1"/>
  <c r="D1238" i="24" s="1"/>
  <c r="F1237" i="24"/>
  <c r="F1230" i="15"/>
  <c r="D1230" i="15"/>
  <c r="D1231" i="15" s="1"/>
  <c r="F1237" i="20"/>
  <c r="D1237" i="20"/>
  <c r="D1238" i="20" s="1"/>
  <c r="C1238" i="24" l="1"/>
  <c r="F1242" i="24"/>
  <c r="D1239" i="24"/>
  <c r="C1238" i="20"/>
  <c r="F1242" i="20"/>
  <c r="D1239" i="20"/>
  <c r="C1231" i="15"/>
  <c r="D1232" i="15"/>
  <c r="F1240" i="24" l="1"/>
  <c r="D1240" i="24"/>
  <c r="F1240" i="20"/>
  <c r="D1240" i="20"/>
  <c r="F1235" i="15"/>
  <c r="C1232" i="15"/>
  <c r="F1233" i="15"/>
  <c r="D1233" i="15"/>
  <c r="D1241" i="24" l="1"/>
  <c r="D1242" i="24" s="1"/>
  <c r="F1241" i="24"/>
  <c r="F1234" i="15"/>
  <c r="D1234" i="15"/>
  <c r="D1235" i="15" s="1"/>
  <c r="D1241" i="20"/>
  <c r="D1242" i="20" s="1"/>
  <c r="F1241" i="20"/>
  <c r="F1246" i="24" l="1"/>
  <c r="C1242" i="24"/>
  <c r="D1243" i="24"/>
  <c r="F1246" i="20"/>
  <c r="C1242" i="20"/>
  <c r="D1243" i="20"/>
  <c r="F1236" i="15"/>
  <c r="C1235" i="15"/>
  <c r="F1239" i="15"/>
  <c r="D1236" i="15"/>
  <c r="F1244" i="24" l="1"/>
  <c r="D1244" i="24"/>
  <c r="F1237" i="15"/>
  <c r="D1237" i="15"/>
  <c r="F1244" i="20"/>
  <c r="D1244" i="20"/>
  <c r="D1245" i="24" l="1"/>
  <c r="D1246" i="24" s="1"/>
  <c r="F1245" i="24"/>
  <c r="D1245" i="20"/>
  <c r="D1246" i="20" s="1"/>
  <c r="F1245" i="20"/>
  <c r="D1238" i="15"/>
  <c r="D1239" i="15" s="1"/>
  <c r="F1238" i="15"/>
  <c r="F1251" i="24" l="1"/>
  <c r="C1246" i="24"/>
  <c r="D1247" i="24"/>
  <c r="F1243" i="15"/>
  <c r="F1240" i="15"/>
  <c r="C1239" i="15"/>
  <c r="D1240" i="15"/>
  <c r="F1251" i="20"/>
  <c r="C1246" i="20"/>
  <c r="D1247" i="20"/>
  <c r="F1248" i="24" l="1"/>
  <c r="D1248" i="24"/>
  <c r="F1241" i="15"/>
  <c r="D1241" i="15"/>
  <c r="F1248" i="20"/>
  <c r="D1248" i="20"/>
  <c r="F1249" i="24" l="1"/>
  <c r="D1249" i="24"/>
  <c r="F1242" i="15"/>
  <c r="D1242" i="15"/>
  <c r="D1243" i="15" s="1"/>
  <c r="F1249" i="20"/>
  <c r="D1249" i="20"/>
  <c r="F1250" i="24" l="1"/>
  <c r="D1250" i="24"/>
  <c r="D1251" i="24" s="1"/>
  <c r="F1250" i="20"/>
  <c r="D1250" i="20"/>
  <c r="D1251" i="20" s="1"/>
  <c r="F1247" i="15"/>
  <c r="F1244" i="15"/>
  <c r="C1243" i="15"/>
  <c r="D1244" i="15"/>
  <c r="C1251" i="24" l="1"/>
  <c r="F1255" i="24"/>
  <c r="D1252" i="24"/>
  <c r="C1251" i="20"/>
  <c r="F1255" i="20"/>
  <c r="D1252" i="20"/>
  <c r="F1245" i="15"/>
  <c r="D1245" i="15"/>
  <c r="F1253" i="24" l="1"/>
  <c r="D1253" i="24"/>
  <c r="F1253" i="20"/>
  <c r="D1253" i="20"/>
  <c r="F1246" i="15"/>
  <c r="D1246" i="15"/>
  <c r="D1247" i="15" s="1"/>
  <c r="D1254" i="24" l="1"/>
  <c r="D1255" i="24" s="1"/>
  <c r="F1254" i="24"/>
  <c r="F1252" i="15"/>
  <c r="F1248" i="15"/>
  <c r="C1247" i="15"/>
  <c r="D1248" i="15"/>
  <c r="D1254" i="20"/>
  <c r="D1255" i="20" s="1"/>
  <c r="F1254" i="20"/>
  <c r="D1256" i="24" l="1"/>
  <c r="C1255" i="24"/>
  <c r="F1260" i="24"/>
  <c r="F1249" i="15"/>
  <c r="D1249" i="15"/>
  <c r="D1256" i="20"/>
  <c r="F1260" i="20"/>
  <c r="C1255" i="20"/>
  <c r="F1257" i="24" l="1"/>
  <c r="D1257" i="24"/>
  <c r="F1257" i="20"/>
  <c r="D1257" i="20"/>
  <c r="F1250" i="15"/>
  <c r="D1250" i="15"/>
  <c r="F1258" i="24" l="1"/>
  <c r="D1258" i="24"/>
  <c r="F1251" i="15"/>
  <c r="D1251" i="15"/>
  <c r="D1252" i="15" s="1"/>
  <c r="F1258" i="20"/>
  <c r="D1258" i="20"/>
  <c r="F1259" i="24" l="1"/>
  <c r="D1259" i="24"/>
  <c r="D1260" i="24" s="1"/>
  <c r="F1259" i="20"/>
  <c r="D1259" i="20"/>
  <c r="D1260" i="20" s="1"/>
  <c r="D1253" i="15"/>
  <c r="F1256" i="15"/>
  <c r="F1253" i="15"/>
  <c r="C1252" i="15"/>
  <c r="F1265" i="24" l="1"/>
  <c r="C1260" i="24"/>
  <c r="D1261" i="24"/>
  <c r="D1254" i="15"/>
  <c r="F1254" i="15"/>
  <c r="F1265" i="20"/>
  <c r="C1260" i="20"/>
  <c r="D1261" i="20"/>
  <c r="D1262" i="24" l="1"/>
  <c r="F1262" i="24"/>
  <c r="D1262" i="20"/>
  <c r="F1262" i="20"/>
  <c r="D1255" i="15"/>
  <c r="D1256" i="15" s="1"/>
  <c r="F1255" i="15"/>
  <c r="F1263" i="24" l="1"/>
  <c r="D1263" i="24"/>
  <c r="F1257" i="15"/>
  <c r="C1256" i="15"/>
  <c r="D1257" i="15"/>
  <c r="F1261" i="15"/>
  <c r="F1263" i="20"/>
  <c r="D1263" i="20"/>
  <c r="D1264" i="24" l="1"/>
  <c r="D1265" i="24" s="1"/>
  <c r="F1264" i="24"/>
  <c r="F1258" i="15"/>
  <c r="D1258" i="15"/>
  <c r="D1264" i="20"/>
  <c r="D1265" i="20" s="1"/>
  <c r="F1264" i="20"/>
  <c r="D1266" i="24" l="1"/>
  <c r="C1265" i="24"/>
  <c r="D1266" i="20"/>
  <c r="C1265" i="20"/>
  <c r="F1259" i="15"/>
  <c r="D1259" i="15"/>
  <c r="C1266" i="24" l="1"/>
  <c r="F1267" i="24"/>
  <c r="D1267" i="24"/>
  <c r="F1260" i="15"/>
  <c r="D1260" i="15"/>
  <c r="D1261" i="15" s="1"/>
  <c r="C1266" i="20"/>
  <c r="F1267" i="20"/>
  <c r="D1267" i="20"/>
  <c r="F1268" i="24" l="1"/>
  <c r="D1268" i="24"/>
  <c r="F1262" i="15"/>
  <c r="C1261" i="15"/>
  <c r="D1262" i="15"/>
  <c r="F1268" i="20"/>
  <c r="D1268" i="20"/>
  <c r="F1269" i="24" l="1"/>
  <c r="D1269" i="24"/>
  <c r="D1270" i="24" s="1"/>
  <c r="D1263" i="15"/>
  <c r="F1263" i="15"/>
  <c r="F1269" i="20"/>
  <c r="D1269" i="20"/>
  <c r="D1270" i="20" s="1"/>
  <c r="F1277" i="24" l="1"/>
  <c r="C1270" i="24"/>
  <c r="D1271" i="24"/>
  <c r="D1264" i="15"/>
  <c r="F1264" i="15"/>
  <c r="F1277" i="20"/>
  <c r="C1270" i="20"/>
  <c r="D1271" i="20"/>
  <c r="F1272" i="24" l="1"/>
  <c r="D1272" i="24"/>
  <c r="F1272" i="20"/>
  <c r="D1272" i="20"/>
  <c r="F1265" i="15"/>
  <c r="D1265" i="15"/>
  <c r="D1266" i="15" s="1"/>
  <c r="F1273" i="24" l="1"/>
  <c r="D1273" i="24"/>
  <c r="C1266" i="15"/>
  <c r="D1267" i="15"/>
  <c r="F1273" i="20"/>
  <c r="D1273" i="20"/>
  <c r="F1274" i="24" l="1"/>
  <c r="D1274" i="24"/>
  <c r="F643" i="24"/>
  <c r="F1274" i="20"/>
  <c r="D1274" i="20"/>
  <c r="F643" i="20"/>
  <c r="D1268" i="15"/>
  <c r="C1267" i="15"/>
  <c r="F1268" i="15"/>
  <c r="D1275" i="24" l="1"/>
  <c r="F1275" i="24"/>
  <c r="F660" i="24"/>
  <c r="F670" i="24"/>
  <c r="D1275" i="20"/>
  <c r="F1275" i="20"/>
  <c r="F670" i="20"/>
  <c r="F660" i="20"/>
  <c r="D1269" i="15"/>
  <c r="F1269" i="15"/>
  <c r="F1276" i="24" l="1"/>
  <c r="D1276" i="24"/>
  <c r="D1277" i="24" s="1"/>
  <c r="F1270" i="15"/>
  <c r="D1270" i="15"/>
  <c r="D1271" i="15" s="1"/>
  <c r="F1276" i="20"/>
  <c r="D1276" i="20"/>
  <c r="D1277" i="20" s="1"/>
  <c r="C1277" i="24" l="1"/>
  <c r="F1283" i="24" s="1"/>
  <c r="D1278" i="24"/>
  <c r="C1277" i="20"/>
  <c r="F1283" i="20" s="1"/>
  <c r="D1278" i="20"/>
  <c r="D1272" i="15"/>
  <c r="C1271" i="15"/>
  <c r="F1278" i="15"/>
  <c r="F1279" i="24" l="1"/>
  <c r="D1279" i="24"/>
  <c r="F1273" i="15"/>
  <c r="D1273" i="15"/>
  <c r="F1279" i="20"/>
  <c r="D1279" i="20"/>
  <c r="F1280" i="24" l="1"/>
  <c r="D1280" i="24"/>
  <c r="F1274" i="15"/>
  <c r="D1274" i="15"/>
  <c r="F1280" i="20"/>
  <c r="D1280" i="20"/>
  <c r="F1281" i="24" l="1"/>
  <c r="D1281" i="24"/>
  <c r="F835" i="24"/>
  <c r="F1281" i="20"/>
  <c r="D1281" i="20"/>
  <c r="F835" i="20"/>
  <c r="F1275" i="15"/>
  <c r="D1275" i="15"/>
  <c r="D1282" i="24" l="1"/>
  <c r="F1282" i="24"/>
  <c r="F842" i="24"/>
  <c r="D1282" i="20"/>
  <c r="F1282" i="20"/>
  <c r="F842" i="20"/>
  <c r="F1276" i="15"/>
  <c r="D1276" i="15"/>
  <c r="D1283" i="24" l="1"/>
  <c r="F849" i="24"/>
  <c r="F1277" i="15"/>
  <c r="D1277" i="15"/>
  <c r="D1278" i="15" s="1"/>
  <c r="D1283" i="20"/>
  <c r="F849" i="20"/>
  <c r="D1284" i="24" l="1"/>
  <c r="D1285" i="24" s="1"/>
  <c r="C1283" i="24"/>
  <c r="F1285" i="24" s="1"/>
  <c r="D1284" i="20"/>
  <c r="D1285" i="20" s="1"/>
  <c r="C1283" i="20"/>
  <c r="F1285" i="20" s="1"/>
  <c r="F1284" i="15"/>
  <c r="C1278" i="15"/>
  <c r="D1279" i="15"/>
  <c r="C1285" i="24" l="1"/>
  <c r="D1286" i="24"/>
  <c r="F830" i="24"/>
  <c r="F1280" i="15"/>
  <c r="D1280" i="15"/>
  <c r="C1285" i="20"/>
  <c r="D1286" i="20"/>
  <c r="F830" i="20"/>
  <c r="F1287" i="24" l="1"/>
  <c r="D1287" i="24"/>
  <c r="F825" i="24"/>
  <c r="F1287" i="20"/>
  <c r="D1287" i="20"/>
  <c r="F825" i="20"/>
  <c r="F1281" i="15"/>
  <c r="D1281" i="15"/>
  <c r="D1288" i="24" l="1"/>
  <c r="F1288" i="24"/>
  <c r="F1282" i="15"/>
  <c r="D1282" i="15"/>
  <c r="D1288" i="20"/>
  <c r="F1288" i="20"/>
  <c r="F1283" i="15" l="1"/>
  <c r="D1283" i="15"/>
  <c r="D1284" i="15" s="1"/>
  <c r="D1285" i="15" l="1"/>
  <c r="D1286" i="15" s="1"/>
  <c r="F1286" i="15"/>
  <c r="C1284" i="15"/>
  <c r="C1286" i="15" l="1"/>
  <c r="D1287" i="15"/>
  <c r="F1288" i="15" l="1"/>
  <c r="D1288" i="15"/>
  <c r="F1289" i="15" l="1"/>
  <c r="D1289" i="15"/>
</calcChain>
</file>

<file path=xl/sharedStrings.xml><?xml version="1.0" encoding="utf-8"?>
<sst xmlns="http://schemas.openxmlformats.org/spreadsheetml/2006/main" count="22107" uniqueCount="1291">
  <si>
    <t>133-EE-1006-A</t>
  </si>
  <si>
    <t>status</t>
  </si>
  <si>
    <t>THK</t>
  </si>
  <si>
    <t>WORK DIMENSION</t>
  </si>
  <si>
    <t>QTY</t>
  </si>
  <si>
    <t>UOM</t>
  </si>
  <si>
    <t>work volume</t>
  </si>
  <si>
    <t>BMT</t>
  </si>
  <si>
    <t>WORK-duration</t>
  </si>
  <si>
    <t>ST</t>
  </si>
  <si>
    <t>TOTAL DURATION</t>
  </si>
  <si>
    <t xml:space="preserve">RAW MATERIAL </t>
  </si>
  <si>
    <t xml:space="preserve"> SHELL PLATE-SA 516 Gr60</t>
  </si>
  <si>
    <t xml:space="preserve"> SHELL GIRTH FLANGE-SA266 Gr4</t>
  </si>
  <si>
    <t xml:space="preserve"> CHANNEL PLATE-SA 516 Gr60</t>
  </si>
  <si>
    <t xml:space="preserve"> CHANNEL GIRTH FLANGE-SA 266 Gr4</t>
  </si>
  <si>
    <t xml:space="preserve"> BARREL SHEEL PLATE-SA 516 GR 60</t>
  </si>
  <si>
    <t xml:space="preserve"> BARREL GIRTH FLANGE-SA 266 GR4</t>
  </si>
  <si>
    <t xml:space="preserve"> BARREL DISH-SA 516 GR 60</t>
  </si>
  <si>
    <t xml:space="preserve"> TUBE SHEET-1-SA 266 GR4</t>
  </si>
  <si>
    <t xml:space="preserve"> TUBE SHEET -2-SA 266 GR4</t>
  </si>
  <si>
    <t xml:space="preserve"> FLOATING HEAD FLG-SA 266 GR4</t>
  </si>
  <si>
    <t xml:space="preserve"> FLOATING HEAD DISH-SA 516 GR60</t>
  </si>
  <si>
    <t xml:space="preserve"> BACKING RING-SA 266 GR4</t>
  </si>
  <si>
    <t xml:space="preserve"> BAFFLE PLATE-SA 516 GR60</t>
  </si>
  <si>
    <t xml:space="preserve"> SEALING STRIP PLATE-SA 516 GR60</t>
  </si>
  <si>
    <t xml:space="preserve"> SLIDING STRIP PLATE-SA 516 GR60</t>
  </si>
  <si>
    <t xml:space="preserve"> SEAL ROD-SA 36</t>
  </si>
  <si>
    <t xml:space="preserve"> NOZ SRN-SA 105</t>
  </si>
  <si>
    <t xml:space="preserve"> TUBE -SA 179</t>
  </si>
  <si>
    <t xml:space="preserve"> SPACER TUBE-SA 179</t>
  </si>
  <si>
    <t xml:space="preserve"> TIE ROD-SA 36</t>
  </si>
  <si>
    <t xml:space="preserve"> TEST RING &amp; TEST FLG-SA 266 GR4</t>
  </si>
  <si>
    <t xml:space="preserve"> MS ROD FOR HANDLE ETC</t>
  </si>
  <si>
    <t xml:space="preserve"> MS PLATE FOR SADDLE</t>
  </si>
  <si>
    <t>DISH FORMING - 24T*1700 OD</t>
  </si>
  <si>
    <t xml:space="preserve"> BAR DISH BLANK ISSUENCE</t>
  </si>
  <si>
    <t>T</t>
  </si>
  <si>
    <t>ID dish</t>
  </si>
  <si>
    <t>No</t>
  </si>
  <si>
    <t>nos</t>
  </si>
  <si>
    <t>Day</t>
  </si>
  <si>
    <t>Days</t>
  </si>
  <si>
    <t xml:space="preserve"> BAR-DISH BLANK MARKING - 24 * 1670 OD</t>
  </si>
  <si>
    <t>F,H</t>
  </si>
  <si>
    <t>6723 MM</t>
  </si>
  <si>
    <t>Dia-mtr</t>
  </si>
  <si>
    <t>Hr/mtr</t>
  </si>
  <si>
    <t>Hrs</t>
  </si>
  <si>
    <t xml:space="preserve"> BAR-DISH BLANK MARKING INSPECTION</t>
  </si>
  <si>
    <t>no</t>
  </si>
  <si>
    <t xml:space="preserve"> BAR-DISH BLANK CUTTING</t>
  </si>
  <si>
    <t>C,H</t>
  </si>
  <si>
    <t>RMT</t>
  </si>
  <si>
    <t xml:space="preserve"> BAR-DISH FORMING</t>
  </si>
  <si>
    <t>SC</t>
  </si>
  <si>
    <t xml:space="preserve"> PROFILE INSP</t>
  </si>
  <si>
    <t xml:space="preserve"> HEAT TREATMENT PREPARATION</t>
  </si>
  <si>
    <t xml:space="preserve"> STRESS RELEIVING- SUB CONT</t>
  </si>
  <si>
    <t xml:space="preserve"> REMOVAL OF SPIDERS</t>
  </si>
  <si>
    <t xml:space="preserve"> SURFACE PREPARATION</t>
  </si>
  <si>
    <t>G</t>
  </si>
  <si>
    <t xml:space="preserve"> INSPECTION</t>
  </si>
  <si>
    <t>F</t>
  </si>
  <si>
    <t xml:space="preserve"> TPI INSPECTION</t>
  </si>
  <si>
    <t xml:space="preserve"> SF MARKING</t>
  </si>
  <si>
    <t>enter</t>
  </si>
  <si>
    <t>1692 od</t>
  </si>
  <si>
    <t>Rmt</t>
  </si>
  <si>
    <t xml:space="preserve"> SF CUTTING</t>
  </si>
  <si>
    <t xml:space="preserve"> SF GRIDNING &amp; EP</t>
  </si>
  <si>
    <t>TUBE SHEET</t>
  </si>
  <si>
    <t xml:space="preserve"> TUBE SHEET MACHINING 1 OFF 2</t>
  </si>
  <si>
    <t xml:space="preserve"> INWARD INSPECTION</t>
  </si>
  <si>
    <t>145 t</t>
  </si>
  <si>
    <t xml:space="preserve"> TUBE SHEET M/C - 1/2</t>
  </si>
  <si>
    <t xml:space="preserve"> TUBE SHEET DRILLING 1 OFF 2</t>
  </si>
  <si>
    <t xml:space="preserve"> TUBE SHEET DRILLING -1/2</t>
  </si>
  <si>
    <t>1308 holes</t>
  </si>
  <si>
    <t>rmt</t>
  </si>
  <si>
    <t xml:space="preserve"> EXP GROOVE+WELDING GROOVE -1/2</t>
  </si>
  <si>
    <t>Nos</t>
  </si>
  <si>
    <t xml:space="preserve"> TIE ROD, PULLING, LIFTING HOLE - 1/2</t>
  </si>
  <si>
    <t>set</t>
  </si>
  <si>
    <t>Set</t>
  </si>
  <si>
    <t xml:space="preserve"> PASS PARTITION GROOVE M/C -1/2</t>
  </si>
  <si>
    <t xml:space="preserve"> CLEANING ,GO/NO GO CHECK -1/2</t>
  </si>
  <si>
    <t>Hr/no</t>
  </si>
  <si>
    <t xml:space="preserve"> FINAL INSPECTION -1/2</t>
  </si>
  <si>
    <t xml:space="preserve"> TUBE SHEET MACHINING 2 OFF 2</t>
  </si>
  <si>
    <t>1670 od</t>
  </si>
  <si>
    <t xml:space="preserve"> TUBE SHEET M/C - 2/2</t>
  </si>
  <si>
    <t>1548 od</t>
  </si>
  <si>
    <t xml:space="preserve"> TUBE SHEET DRILLING 2 OFF 2</t>
  </si>
  <si>
    <t xml:space="preserve"> TUBE SHEET DRILLING -2/2</t>
  </si>
  <si>
    <t xml:space="preserve"> EXP GROOVE+WELDING GROOVE -2/2</t>
  </si>
  <si>
    <t xml:space="preserve"> TIE ROD, PULLING, LIFTING HOLE - 2/2</t>
  </si>
  <si>
    <t xml:space="preserve"> PASS PARTITION GROOVE M/C -2/2</t>
  </si>
  <si>
    <t xml:space="preserve"> CLEANING ,GO/NO GO CHECK -2/2</t>
  </si>
  <si>
    <t xml:space="preserve"> FINAL INSPECTION -2/2</t>
  </si>
  <si>
    <t>NOZZLE FAB</t>
  </si>
  <si>
    <t>SH  NOZ PIPE MARKING</t>
  </si>
  <si>
    <t>26"NB SRN - 2 NOS</t>
  </si>
  <si>
    <t>26" nb</t>
  </si>
  <si>
    <t>2" MP CON - 2 NO</t>
  </si>
  <si>
    <t>2"nb</t>
  </si>
  <si>
    <t>INSPECTION OF MARKING</t>
  </si>
  <si>
    <t>SH NOZ PIPE CUTTING</t>
  </si>
  <si>
    <t>SH NOZ PIPE EP</t>
  </si>
  <si>
    <t>INSPECTION</t>
  </si>
  <si>
    <t>SH NOZ+FLG FIITUP</t>
  </si>
  <si>
    <t>F[2],W,H</t>
  </si>
  <si>
    <t>hr</t>
  </si>
  <si>
    <t xml:space="preserve">INSPECTION </t>
  </si>
  <si>
    <t>SH NOZ PIPE+FLG WELDING</t>
  </si>
  <si>
    <t>W,H</t>
  </si>
  <si>
    <t>18 t</t>
  </si>
  <si>
    <t>3054 mm</t>
  </si>
  <si>
    <t>272 MM</t>
  </si>
  <si>
    <t>SH NOZ PIPE PROFILE MARKING</t>
  </si>
  <si>
    <t xml:space="preserve"> SH NOZZLE PIPE PROFILE CUTTING</t>
  </si>
  <si>
    <t>G,H</t>
  </si>
  <si>
    <t xml:space="preserve"> SH NOZZLE PIPE PR0FILE EP</t>
  </si>
  <si>
    <t>18t</t>
  </si>
  <si>
    <t>CH NOZ PIPE MARKING</t>
  </si>
  <si>
    <t>16"NB SRN - 2 NOS</t>
  </si>
  <si>
    <t>CH NOZ PIPE CUTTING</t>
  </si>
  <si>
    <t>CH NOZ PIPE EP</t>
  </si>
  <si>
    <t>CH NOZ+FLG FIT UP</t>
  </si>
  <si>
    <t>CH NOZ PIPE+FLG WELDING</t>
  </si>
  <si>
    <t>CH NOZ PIPE PROFILE MARKING</t>
  </si>
  <si>
    <t>CH NOZZLE PIPE PROFILE CUTTING</t>
  </si>
  <si>
    <t>CH NOZZLE PIPE PR0FILE EP</t>
  </si>
  <si>
    <t>SADDLE &amp; OTHER</t>
  </si>
  <si>
    <t xml:space="preserve"> TOP SADDLE FABRRICATION</t>
  </si>
  <si>
    <t xml:space="preserve"> PLATE ISSUENCE</t>
  </si>
  <si>
    <t xml:space="preserve"> BASE MARKING</t>
  </si>
  <si>
    <t>30/25</t>
  </si>
  <si>
    <t>9 rmt</t>
  </si>
  <si>
    <t>mtr</t>
  </si>
  <si>
    <t xml:space="preserve"> WEB PL MARKING</t>
  </si>
  <si>
    <t>29 rmt</t>
  </si>
  <si>
    <t xml:space="preserve"> RIBS MARKING</t>
  </si>
  <si>
    <t>10.5 Rmt</t>
  </si>
  <si>
    <t xml:space="preserve">TOP SADLLE PLATE CUTTING </t>
  </si>
  <si>
    <t xml:space="preserve"> BASE CUTTING</t>
  </si>
  <si>
    <t xml:space="preserve"> WEB PL CUTTING</t>
  </si>
  <si>
    <t xml:space="preserve"> RIBS CUTTING</t>
  </si>
  <si>
    <t>GRINNDING OF ABOVE</t>
  </si>
  <si>
    <t>G[2]</t>
  </si>
  <si>
    <t xml:space="preserve"> SADDLE FIT UP &amp; WELDING</t>
  </si>
  <si>
    <t xml:space="preserve"> BASE + WEB FIT UP</t>
  </si>
  <si>
    <t>F,H[2],W</t>
  </si>
  <si>
    <t xml:space="preserve"> BASE + WEB WELDING</t>
  </si>
  <si>
    <t xml:space="preserve"> RIBS+WEB FIT UP</t>
  </si>
  <si>
    <t xml:space="preserve"> RIBS+WEB WELDING</t>
  </si>
  <si>
    <t>W[2],H[2]</t>
  </si>
  <si>
    <t xml:space="preserve"> DAVIT PIPE FABRICATION</t>
  </si>
  <si>
    <t xml:space="preserve"> PIPE TRANSFERE</t>
  </si>
  <si>
    <t>H[4]</t>
  </si>
  <si>
    <t>SET</t>
  </si>
  <si>
    <t xml:space="preserve"> PIPE MARKING - 6 NOS</t>
  </si>
  <si>
    <t>Hr</t>
  </si>
  <si>
    <t xml:space="preserve"> SUPPORT PL MARKING</t>
  </si>
  <si>
    <t xml:space="preserve"> GUSSET PL MARKING</t>
  </si>
  <si>
    <t xml:space="preserve"> BASE HUB MARKING</t>
  </si>
  <si>
    <t xml:space="preserve"> PIPE CUTTING - 6 NOS</t>
  </si>
  <si>
    <t xml:space="preserve"> SUPPORT PL CUTTING</t>
  </si>
  <si>
    <t xml:space="preserve"> PIPE GRINDING - 6 NOS</t>
  </si>
  <si>
    <t xml:space="preserve"> SUPPORT PL GRINDING-10 NOS</t>
  </si>
  <si>
    <t xml:space="preserve"> PIVOT PL GRINDING</t>
  </si>
  <si>
    <t xml:space="preserve"> PIPE FIT UP-2 NOS</t>
  </si>
  <si>
    <t>F,H,W</t>
  </si>
  <si>
    <t xml:space="preserve"> PIPE WELDING -2 NOS</t>
  </si>
  <si>
    <t xml:space="preserve"> PIVOT PL WELDING</t>
  </si>
  <si>
    <t xml:space="preserve"> SUPPORT PL WELDING -4 NOS</t>
  </si>
  <si>
    <t xml:space="preserve"> LIFTING LUG PAD</t>
  </si>
  <si>
    <t>dAY</t>
  </si>
  <si>
    <t xml:space="preserve"> LIFTING LUG PAD MARKING</t>
  </si>
  <si>
    <t xml:space="preserve"> LIFTING LUG PAD CUTTING</t>
  </si>
  <si>
    <t xml:space="preserve"> LIFTING LUGS PAD GRINDING</t>
  </si>
  <si>
    <t xml:space="preserve"> LIFTING LUG PREPARATION</t>
  </si>
  <si>
    <t xml:space="preserve"> LIFTING LUGS MARKING</t>
  </si>
  <si>
    <t xml:space="preserve"> LIFTING LUGS CUTTING</t>
  </si>
  <si>
    <t xml:space="preserve"> LIFTING LUGS GRINDING</t>
  </si>
  <si>
    <t xml:space="preserve"> LIFTING LUG DRILLING</t>
  </si>
  <si>
    <t xml:space="preserve"> CHANNEL COVER HANDLE PREPATAION</t>
  </si>
  <si>
    <t xml:space="preserve"> CH COVER RING FORMING</t>
  </si>
  <si>
    <t xml:space="preserve"> SLIDING SLING FORMING</t>
  </si>
  <si>
    <t xml:space="preserve"> INSULATION RING PRPARATION</t>
  </si>
  <si>
    <t xml:space="preserve"> INSULAION RING MARKING</t>
  </si>
  <si>
    <t xml:space="preserve"> INSULAION RING CUTTING</t>
  </si>
  <si>
    <t xml:space="preserve"> INSULAION RING HOLE MARKING</t>
  </si>
  <si>
    <t xml:space="preserve"> INSULAION RING HOLE DRILLING</t>
  </si>
  <si>
    <t>BAFFLE &amp; TB ITEMS FAB</t>
  </si>
  <si>
    <t xml:space="preserve"> BAFFLE PREPARATION</t>
  </si>
  <si>
    <t xml:space="preserve"> BAFFLE PLATE TRANSFER</t>
  </si>
  <si>
    <t xml:space="preserve"> BAFFLE MARKING</t>
  </si>
  <si>
    <t xml:space="preserve"> BAFFLE PROFILE CUTTING</t>
  </si>
  <si>
    <t xml:space="preserve"> BAFFLE BEND REMOVAL &amp; STACKING</t>
  </si>
  <si>
    <t xml:space="preserve"> BAFFLE PL BEND REMOVAL</t>
  </si>
  <si>
    <t>F,H[2]</t>
  </si>
  <si>
    <t xml:space="preserve"> BAFFLE PL STACKING</t>
  </si>
  <si>
    <t xml:space="preserve">3 bundle </t>
  </si>
  <si>
    <t xml:space="preserve"> BAFFLE DRILLING</t>
  </si>
  <si>
    <t>14 thk</t>
  </si>
  <si>
    <t>Bunch</t>
  </si>
  <si>
    <t xml:space="preserve"> BAFFLE DE STACKING &amp; CHAMFERING</t>
  </si>
  <si>
    <t xml:space="preserve"> BAFFLE DE STACING</t>
  </si>
  <si>
    <t xml:space="preserve"> BAFFLE CHAMFERING</t>
  </si>
  <si>
    <t>holes</t>
  </si>
  <si>
    <t xml:space="preserve"> BAFFLE STACKING &amp; THRO HOLE CHECK</t>
  </si>
  <si>
    <t xml:space="preserve"> STACKING</t>
  </si>
  <si>
    <t xml:space="preserve"> BAFFLE HOLE ALINGMENT</t>
  </si>
  <si>
    <t xml:space="preserve"> BAFFLE HOLE RE DRILL</t>
  </si>
  <si>
    <t xml:space="preserve"> BAFFLE OD MACHINING</t>
  </si>
  <si>
    <t xml:space="preserve"> BAFFLE CLEANING</t>
  </si>
  <si>
    <t>H[3]</t>
  </si>
  <si>
    <t xml:space="preserve"> SUPPORT PLATE MARKING</t>
  </si>
  <si>
    <t xml:space="preserve"> SUPPORT PLATE TRANSFER</t>
  </si>
  <si>
    <t xml:space="preserve"> SUPPORT MARKING</t>
  </si>
  <si>
    <t xml:space="preserve"> SUPPORT PROFILE CUTTING</t>
  </si>
  <si>
    <t xml:space="preserve"> SUPPORT PLATE BEND REMOVAL</t>
  </si>
  <si>
    <t xml:space="preserve"> SUPPORT PL BEND REMOVAL</t>
  </si>
  <si>
    <t>F,H[3]</t>
  </si>
  <si>
    <t xml:space="preserve"> SUPPORT PL STACKING</t>
  </si>
  <si>
    <t xml:space="preserve"> SUPPORT PLATE DRLINNG</t>
  </si>
  <si>
    <t xml:space="preserve"> SUPPORT DRILLING</t>
  </si>
  <si>
    <t>20THK</t>
  </si>
  <si>
    <t xml:space="preserve"> SUP PLATE DE STACKING &amp; CHAMFERING</t>
  </si>
  <si>
    <t xml:space="preserve"> SUPPORT DE STACING</t>
  </si>
  <si>
    <t xml:space="preserve"> SUPPORT HOLE CHAMFERING</t>
  </si>
  <si>
    <t>Plate</t>
  </si>
  <si>
    <t xml:space="preserve"> TIE ROD PREPARATION</t>
  </si>
  <si>
    <t xml:space="preserve"> TIE ROD MATL TRANSFERE</t>
  </si>
  <si>
    <t xml:space="preserve"> ROD CUTTING</t>
  </si>
  <si>
    <t>noS</t>
  </si>
  <si>
    <t xml:space="preserve"> THREAD MACHINING.</t>
  </si>
  <si>
    <t>L</t>
  </si>
  <si>
    <t xml:space="preserve"> JOINING</t>
  </si>
  <si>
    <t>W,F,H</t>
  </si>
  <si>
    <t xml:space="preserve"> SPACER TUBE PREPARATION</t>
  </si>
  <si>
    <t xml:space="preserve"> SPACER TUBE TRANSFERE</t>
  </si>
  <si>
    <t xml:space="preserve"> LENGTH CUTTING 237NOS</t>
  </si>
  <si>
    <t xml:space="preserve"> LENNGTH MACHINING</t>
  </si>
  <si>
    <t xml:space="preserve"> CLEANINNG</t>
  </si>
  <si>
    <t xml:space="preserve"> SEALING STRIP PREPARATION</t>
  </si>
  <si>
    <t xml:space="preserve"> SEALING STRIP MARKING</t>
  </si>
  <si>
    <t>9522 mm</t>
  </si>
  <si>
    <t>Mtr</t>
  </si>
  <si>
    <t xml:space="preserve"> SEALING STRIP CUTTING</t>
  </si>
  <si>
    <t xml:space="preserve"> SEALING STRIP BEND REMOVAL</t>
  </si>
  <si>
    <t xml:space="preserve"> SEALING STRIP GRINDING</t>
  </si>
  <si>
    <t xml:space="preserve"> SEALING STRIP JOINING</t>
  </si>
  <si>
    <t xml:space="preserve"> SEALING STRIP DRESS UP</t>
  </si>
  <si>
    <t xml:space="preserve"> SLIDING STRIP PREPARATION</t>
  </si>
  <si>
    <t xml:space="preserve"> SLIDING STRIP MARKING</t>
  </si>
  <si>
    <t>13366 mm</t>
  </si>
  <si>
    <t xml:space="preserve"> SLIDING STRIP CUTTING</t>
  </si>
  <si>
    <t xml:space="preserve"> SLIDING STRIP BEND REMOVAL</t>
  </si>
  <si>
    <t xml:space="preserve"> SLIDING STRIP GRINDING</t>
  </si>
  <si>
    <t xml:space="preserve"> SLIDING STRIP JOINING</t>
  </si>
  <si>
    <t xml:space="preserve"> SLIDING STRIP DRESS UP</t>
  </si>
  <si>
    <t xml:space="preserve"> SEAL ROD PREPARATION</t>
  </si>
  <si>
    <t xml:space="preserve"> SEAL ROD ISSUENECE</t>
  </si>
  <si>
    <t xml:space="preserve"> SEAL ROD MARKING</t>
  </si>
  <si>
    <t>25.4 dia</t>
  </si>
  <si>
    <t xml:space="preserve"> SEAL ROD CUTTING</t>
  </si>
  <si>
    <t xml:space="preserve"> SEAL ROD BEND REMOVAL</t>
  </si>
  <si>
    <t>SHELL FABRICATION</t>
  </si>
  <si>
    <t xml:space="preserve"> SHELL MARKING &amp; CUTTING</t>
  </si>
  <si>
    <t xml:space="preserve"> SH PLATE TRNASFER</t>
  </si>
  <si>
    <t xml:space="preserve"> SH-MARKING</t>
  </si>
  <si>
    <t>43000 mm</t>
  </si>
  <si>
    <t xml:space="preserve"> SHELL PLATE CUTTING</t>
  </si>
  <si>
    <t xml:space="preserve"> SH-CUTTING</t>
  </si>
  <si>
    <t>C,H[2]</t>
  </si>
  <si>
    <t xml:space="preserve"> SH PL SIDE GRINDING</t>
  </si>
  <si>
    <t xml:space="preserve"> SH PL SIDE BEVEL CUTTING</t>
  </si>
  <si>
    <t>2500 mm</t>
  </si>
  <si>
    <t>1250 mm</t>
  </si>
  <si>
    <t>0 mm</t>
  </si>
  <si>
    <t xml:space="preserve"> SHELL PLATE EDGE PREPARATION</t>
  </si>
  <si>
    <t xml:space="preserve"> SH-BEVEL GRINDING</t>
  </si>
  <si>
    <t xml:space="preserve"> SHELL PRE BENDING</t>
  </si>
  <si>
    <t xml:space="preserve"> SH-PRE BEND</t>
  </si>
  <si>
    <t>F[2],H</t>
  </si>
  <si>
    <t xml:space="preserve"> SHELL PL PRE BEND CUT OFF</t>
  </si>
  <si>
    <t xml:space="preserve"> SH-PRE BEND CUT OFF</t>
  </si>
  <si>
    <t>F[2],H,C</t>
  </si>
  <si>
    <t xml:space="preserve"> SHELL PLATE LS EP</t>
  </si>
  <si>
    <t xml:space="preserve"> SH-PRE BEND LS EP</t>
  </si>
  <si>
    <t xml:space="preserve"> SHELL ROLLING</t>
  </si>
  <si>
    <t xml:space="preserve"> SH-ROLLING 1/4</t>
  </si>
  <si>
    <t xml:space="preserve"> SH-ROLLING</t>
  </si>
  <si>
    <t xml:space="preserve"> SHELL CIR LENGTH &amp; EP CORRECTION</t>
  </si>
  <si>
    <t xml:space="preserve"> SH-LS CORRECTION</t>
  </si>
  <si>
    <t xml:space="preserve"> SHELL LS SEAMS FIT UP</t>
  </si>
  <si>
    <t xml:space="preserve"> SH-LS FIT UP</t>
  </si>
  <si>
    <t>F[2],H,W</t>
  </si>
  <si>
    <t xml:space="preserve"> SH LS WELDING ARRANGEMENT</t>
  </si>
  <si>
    <t xml:space="preserve"> SH-LS WELD ARRANGEMENT</t>
  </si>
  <si>
    <t xml:space="preserve"> SHELL LONG SEAM OUTER WELDING</t>
  </si>
  <si>
    <t xml:space="preserve"> SH-LS WELDING- TOP SIDE</t>
  </si>
  <si>
    <t xml:space="preserve"> SH LS BACK CHIP</t>
  </si>
  <si>
    <t xml:space="preserve"> SH-LS WELDING- BACK CHIP</t>
  </si>
  <si>
    <t xml:space="preserve"> SH LS INNER WELDING</t>
  </si>
  <si>
    <t xml:space="preserve"> SH-LS INNER WELDING</t>
  </si>
  <si>
    <t>SH INNER LS FLUSH GRINDING</t>
  </si>
  <si>
    <t xml:space="preserve"> SH INNER FLUSH GRINDING</t>
  </si>
  <si>
    <t xml:space="preserve"> SH LS RADIOGRAPHY</t>
  </si>
  <si>
    <t xml:space="preserve"> SH LS WELDING RT</t>
  </si>
  <si>
    <t>RT</t>
  </si>
  <si>
    <t xml:space="preserve"> SHELL RE ROLLING</t>
  </si>
  <si>
    <t xml:space="preserve"> SH RE ROLLING</t>
  </si>
  <si>
    <t xml:space="preserve"> SH PLATE CS EP CORRECTION</t>
  </si>
  <si>
    <t xml:space="preserve"> SH CIR EP CORRECTION</t>
  </si>
  <si>
    <t>1560 mm id</t>
  </si>
  <si>
    <t>0 mm id</t>
  </si>
  <si>
    <t xml:space="preserve"> SH CIR SEAM FIRST FIT UP</t>
  </si>
  <si>
    <t xml:space="preserve"> SH CS FIT UP - [LS1+LS2]</t>
  </si>
  <si>
    <t xml:space="preserve"> SH CS TACK DP CHECK - [LS1+LS2]</t>
  </si>
  <si>
    <t>SH CIR SEAM FIRST WELDING</t>
  </si>
  <si>
    <t xml:space="preserve"> SH CS WELDING TRANSFERE</t>
  </si>
  <si>
    <t xml:space="preserve"> SH CS WELDING OUTER [LS1+LS2]</t>
  </si>
  <si>
    <t xml:space="preserve"> SH CS WELDING BACK CHIP [LS1+LS2]</t>
  </si>
  <si>
    <t xml:space="preserve"> SH CS INNER WELDING [LS1+LS2]</t>
  </si>
  <si>
    <t xml:space="preserve"> SH CS FLUSH GRINDING [LS1+LS2]</t>
  </si>
  <si>
    <t>SH CIR SEAM SECOND FITUP</t>
  </si>
  <si>
    <t xml:space="preserve"> SH CS FIT UP - [LS2+LS3]</t>
  </si>
  <si>
    <t xml:space="preserve"> SH CS TACK DP CHECK - [LS2+LS3]</t>
  </si>
  <si>
    <t>SH CIR SEAM SECOND WELDING</t>
  </si>
  <si>
    <t xml:space="preserve"> SH CS WELDING TRANSFERE-[LS2+LS3]</t>
  </si>
  <si>
    <t xml:space="preserve"> SH CS WELDING OUTER [LS2+LS3]</t>
  </si>
  <si>
    <t xml:space="preserve"> SH CS WELDING BACK CHIP [LS2+LS3]</t>
  </si>
  <si>
    <t xml:space="preserve"> SH CS INNER WELDING [LS2+LS3]</t>
  </si>
  <si>
    <t xml:space="preserve"> SH CS FLUSH GRINDING [LS2+LS3]</t>
  </si>
  <si>
    <t xml:space="preserve"> SH CIR SEAM III RD FITUP</t>
  </si>
  <si>
    <t xml:space="preserve"> SH CS FIT UP CS3</t>
  </si>
  <si>
    <t xml:space="preserve"> SH CS TACK DP CHECK CS3</t>
  </si>
  <si>
    <t>SH CIR SEAM THIRD WELDING</t>
  </si>
  <si>
    <t xml:space="preserve"> SH CS WELDING TRANSFERE CS3</t>
  </si>
  <si>
    <t xml:space="preserve"> SH CS WELDING OUTER CS3</t>
  </si>
  <si>
    <t xml:space="preserve"> SH CS WELDING BACK CHIP CS3</t>
  </si>
  <si>
    <t xml:space="preserve"> SH CS INNER WELDING CS3</t>
  </si>
  <si>
    <t xml:space="preserve"> SH CS FLUSH GRINDING CS3</t>
  </si>
  <si>
    <t>SH FINAL LENGTH CORRECTION</t>
  </si>
  <si>
    <t>SH LENGTH MARKING</t>
  </si>
  <si>
    <t>F[2]</t>
  </si>
  <si>
    <t>LENGTH CUTTING</t>
  </si>
  <si>
    <t>GRINDING &amp; EP</t>
  </si>
  <si>
    <t xml:space="preserve"> SH CIR SEAM FLANGE 1 FITUP</t>
  </si>
  <si>
    <t xml:space="preserve"> SH CS FIT UP FLG CS1</t>
  </si>
  <si>
    <t xml:space="preserve"> SH CS TACK DP CHECK FLG CS1</t>
  </si>
  <si>
    <t xml:space="preserve"> SH CIR SEAM FLANGE 1 WELDING</t>
  </si>
  <si>
    <t xml:space="preserve"> SH CS WELDING OUTER FLG CS1</t>
  </si>
  <si>
    <t xml:space="preserve"> SH CS WELDING BACK CHIP FLG CS1</t>
  </si>
  <si>
    <t xml:space="preserve"> SH CS INNER WELDING FLG CS1</t>
  </si>
  <si>
    <t xml:space="preserve"> SH CS FLUSH GRINDING FLG CS1</t>
  </si>
  <si>
    <t xml:space="preserve"> SH CS FIT UP FLG2</t>
  </si>
  <si>
    <t xml:space="preserve"> SH CS FIT UP FLG 2</t>
  </si>
  <si>
    <t xml:space="preserve"> SH CS TACK DP CHECK FLG2</t>
  </si>
  <si>
    <t>SH CS WELDING FLG2</t>
  </si>
  <si>
    <t xml:space="preserve"> SH CS WELDING TRANSFERE FLG2</t>
  </si>
  <si>
    <t xml:space="preserve"> SH CS WELDING OUTER FLG2</t>
  </si>
  <si>
    <t xml:space="preserve"> SH CS WELDING BACK CHIP FLG2</t>
  </si>
  <si>
    <t xml:space="preserve"> SH CS INNER WELDING FLG2</t>
  </si>
  <si>
    <t xml:space="preserve"> SH CS FLUSH GRINDING FLG2</t>
  </si>
  <si>
    <t xml:space="preserve"> NOZZLE ORIENTATION  MARKING</t>
  </si>
  <si>
    <t>SH-NOZ ORIENTAION MARKING</t>
  </si>
  <si>
    <t xml:space="preserve"> SH-NOZ MARKING-N2A1</t>
  </si>
  <si>
    <t xml:space="preserve"> SH NOZZLE OPENNING</t>
  </si>
  <si>
    <t>26"NB SRN - 1</t>
  </si>
  <si>
    <t>972 mm lip od</t>
  </si>
  <si>
    <t xml:space="preserve"> SH NOZZLE EP</t>
  </si>
  <si>
    <t xml:space="preserve"> SH NOZZZLE FIT UP</t>
  </si>
  <si>
    <t>650nb</t>
  </si>
  <si>
    <t>DP CHECK</t>
  </si>
  <si>
    <t xml:space="preserve"> SH NOZZLE FIT UP INSPECTION</t>
  </si>
  <si>
    <t xml:space="preserve"> SH NOZZLE WELDING</t>
  </si>
  <si>
    <t xml:space="preserve"> SH NOZ WELDING ARRANGEMENT</t>
  </si>
  <si>
    <t xml:space="preserve"> SH-NOZ WELDING -N1A</t>
  </si>
  <si>
    <t xml:space="preserve"> SH-NOZ WELDING-N2A1</t>
  </si>
  <si>
    <t xml:space="preserve"> SH-NOZ WELDING-N2A2</t>
  </si>
  <si>
    <t xml:space="preserve"> SH NOZ ROOT DP CHECK</t>
  </si>
  <si>
    <t xml:space="preserve"> SH-NOZ INNER WELD -N1A</t>
  </si>
  <si>
    <t>H,W</t>
  </si>
  <si>
    <t xml:space="preserve"> SH-NOZ INNER WELD-N2A1</t>
  </si>
  <si>
    <t xml:space="preserve"> SH-NOZ INNER WELD-N2A2</t>
  </si>
  <si>
    <t xml:space="preserve"> SH SADDLE WELDING</t>
  </si>
  <si>
    <t xml:space="preserve"> SH-SADDLE PAD FIT UP</t>
  </si>
  <si>
    <t>1596 mm od</t>
  </si>
  <si>
    <t xml:space="preserve"> SH-SADDLE PAD WELDING</t>
  </si>
  <si>
    <t xml:space="preserve"> SH-SADDLE MATCHING</t>
  </si>
  <si>
    <t>F[2],G[2]</t>
  </si>
  <si>
    <t xml:space="preserve"> SH-SADDLE FIT UP</t>
  </si>
  <si>
    <t>W,F[2],H</t>
  </si>
  <si>
    <t xml:space="preserve"> SH-SADDLE WELDING</t>
  </si>
  <si>
    <t>11400 rmt</t>
  </si>
  <si>
    <t xml:space="preserve"> SH-SADDLE dress up</t>
  </si>
  <si>
    <t xml:space="preserve"> SH DAVIT ARM WELDING</t>
  </si>
  <si>
    <t xml:space="preserve"> SH-DAVIT ARM arm match</t>
  </si>
  <si>
    <t>F,G</t>
  </si>
  <si>
    <t xml:space="preserve"> SH-DAVIT ARM FIT UP</t>
  </si>
  <si>
    <t xml:space="preserve"> SH-DAVIT ARM WELDING</t>
  </si>
  <si>
    <t xml:space="preserve"> SH NDE CLEARENCE</t>
  </si>
  <si>
    <t xml:space="preserve"> SH-SH NDE CLEARENCE</t>
  </si>
  <si>
    <t>6130 lg</t>
  </si>
  <si>
    <t>CHANNEL FABRICATION</t>
  </si>
  <si>
    <t xml:space="preserve"> CHANNEL SHELL LS WELDING</t>
  </si>
  <si>
    <t xml:space="preserve"> CH PLATE TRNASFER</t>
  </si>
  <si>
    <t xml:space="preserve"> CH-MARKING</t>
  </si>
  <si>
    <t>831 mm</t>
  </si>
  <si>
    <t xml:space="preserve"> CH-CUTTING</t>
  </si>
  <si>
    <t xml:space="preserve"> CH PL SIDE GRINDING</t>
  </si>
  <si>
    <t>CH-BEVELLING CIR SIDE</t>
  </si>
  <si>
    <t>CH EP GRINDING</t>
  </si>
  <si>
    <t xml:space="preserve"> CHANNEL SH ROLLING</t>
  </si>
  <si>
    <t xml:space="preserve"> CH-PRE BEND</t>
  </si>
  <si>
    <t xml:space="preserve"> CH-PRE BEND CUT OFF</t>
  </si>
  <si>
    <t>F[2],C</t>
  </si>
  <si>
    <t xml:space="preserve"> CH LS BEVELING</t>
  </si>
  <si>
    <t xml:space="preserve"> CH-ROLLING</t>
  </si>
  <si>
    <t xml:space="preserve"> CH SHELL LS FIT UP</t>
  </si>
  <si>
    <t xml:space="preserve"> CH-LS CORRECTION</t>
  </si>
  <si>
    <t xml:space="preserve"> CH-LS FIT UP</t>
  </si>
  <si>
    <t xml:space="preserve"> CH SHELL LS WELDING</t>
  </si>
  <si>
    <t xml:space="preserve"> CH-LS WELD ARRANGEMENT</t>
  </si>
  <si>
    <t xml:space="preserve"> CH-LS WELDING- TOP SIDE</t>
  </si>
  <si>
    <t xml:space="preserve"> CH-LS WELDING- BACK CHIP</t>
  </si>
  <si>
    <t xml:space="preserve"> CH-LS INNER WELDING</t>
  </si>
  <si>
    <t xml:space="preserve"> CH-LS INNNER FLUSH GRIND</t>
  </si>
  <si>
    <t xml:space="preserve"> CH RE ROLLING</t>
  </si>
  <si>
    <t xml:space="preserve"> CH LS WELDING RADIOGRAPHY</t>
  </si>
  <si>
    <t xml:space="preserve"> CH LS WELDING RT</t>
  </si>
  <si>
    <t>dya</t>
  </si>
  <si>
    <t xml:space="preserve"> CH CS FLG 1 FIT UP</t>
  </si>
  <si>
    <t xml:space="preserve"> CH CIR EP CORRECTION</t>
  </si>
  <si>
    <t xml:space="preserve"> CH CS FIT UP FLG1</t>
  </si>
  <si>
    <t xml:space="preserve"> CH CS TACK DP CHECK FLG1</t>
  </si>
  <si>
    <t xml:space="preserve"> CH CS FLG 1 WELDING</t>
  </si>
  <si>
    <t xml:space="preserve"> CH CS WELDING TRANSFERE</t>
  </si>
  <si>
    <t xml:space="preserve"> CH CS WELDING OUTER FLG1</t>
  </si>
  <si>
    <t xml:space="preserve"> CH CS WELDING BACK CHIP FLG1</t>
  </si>
  <si>
    <t xml:space="preserve"> CH CS INNER WELDING FLG 1</t>
  </si>
  <si>
    <t xml:space="preserve"> CH CS FLUSH GRINDING FLG1</t>
  </si>
  <si>
    <t xml:space="preserve"> CH CS FLG 2 FIT UP</t>
  </si>
  <si>
    <t xml:space="preserve"> CH LENGTH CUTTING</t>
  </si>
  <si>
    <t xml:space="preserve"> CH CS FIT UP FLG2</t>
  </si>
  <si>
    <t xml:space="preserve"> CH CS FLG 2 WELDING</t>
  </si>
  <si>
    <t xml:space="preserve"> CH CS WELDING TRANSFERE FLG2</t>
  </si>
  <si>
    <t xml:space="preserve"> CH CS WELDING OUTER FLG2</t>
  </si>
  <si>
    <t xml:space="preserve"> CH CS WELDING BACK CHIP FLG2</t>
  </si>
  <si>
    <t xml:space="preserve"> CH CS INNER WELDING FLG2</t>
  </si>
  <si>
    <t xml:space="preserve"> CH CS FLUSH GRINDING FLG2</t>
  </si>
  <si>
    <t xml:space="preserve"> CH CS FLG 1 &amp; 2 WELDING rt</t>
  </si>
  <si>
    <t xml:space="preserve"> CH CS WELDING RT</t>
  </si>
  <si>
    <t>n</t>
  </si>
  <si>
    <t xml:space="preserve"> CHANNEL NOZ MARKING</t>
  </si>
  <si>
    <t>CH- NOZ IREIENTATION NKG</t>
  </si>
  <si>
    <t xml:space="preserve"> CH-NOZ MARKING- 16"NB - 2 NOS</t>
  </si>
  <si>
    <t xml:space="preserve"> CH NOZ OPNNING</t>
  </si>
  <si>
    <t xml:space="preserve"> CH-NOZ OPENNING-TOP</t>
  </si>
  <si>
    <t>400nb</t>
  </si>
  <si>
    <t xml:space="preserve"> CH-NOZ OPENNING-Bot</t>
  </si>
  <si>
    <t xml:space="preserve"> CH NOZ OPEN EP</t>
  </si>
  <si>
    <t xml:space="preserve"> CH-NOZ EP -N3A</t>
  </si>
  <si>
    <t xml:space="preserve"> CH-NOZ EP-N4A</t>
  </si>
  <si>
    <t xml:space="preserve"> CH NOZ FIT UP</t>
  </si>
  <si>
    <t xml:space="preserve"> CH-NOZ FIT UP -N3A</t>
  </si>
  <si>
    <t xml:space="preserve"> CH-NOZ FIT UP -N4A</t>
  </si>
  <si>
    <t xml:space="preserve"> CH NOZ FIT UP INSP</t>
  </si>
  <si>
    <t xml:space="preserve"> CH-NOZ INSPN -N3A</t>
  </si>
  <si>
    <t xml:space="preserve"> CH-NOZ INSPN-N4A</t>
  </si>
  <si>
    <t xml:space="preserve"> CH NOZ WELDING</t>
  </si>
  <si>
    <t xml:space="preserve"> CH NOZ WELDING ARRANGEMENT</t>
  </si>
  <si>
    <t xml:space="preserve"> CH-NOZ WELDING -N3A</t>
  </si>
  <si>
    <t>407 mm</t>
  </si>
  <si>
    <t xml:space="preserve"> CH-NOZ WELDING-N4A</t>
  </si>
  <si>
    <t xml:space="preserve"> CH NOZ ROOT DP CHECK</t>
  </si>
  <si>
    <t xml:space="preserve"> CH-NOZ INNER WELD -N3A</t>
  </si>
  <si>
    <t xml:space="preserve"> CH-NOZ INNER WELD-N4A</t>
  </si>
  <si>
    <t>RF PAD FIT UP &amp; Nozzle fit up</t>
  </si>
  <si>
    <t>RF PAD FIT UP WELDING</t>
  </si>
  <si>
    <t>NOZ WELDING FLUSH GRIND- 16"NB</t>
  </si>
  <si>
    <t>NoS</t>
  </si>
  <si>
    <t xml:space="preserve"> CHANNEL PP PLATE FIT UP</t>
  </si>
  <si>
    <t xml:space="preserve"> CH- PP PLATE FIT UP</t>
  </si>
  <si>
    <t xml:space="preserve"> CH- PP PLATE FIT UP INSP</t>
  </si>
  <si>
    <t>1560 id</t>
  </si>
  <si>
    <t xml:space="preserve"> CH PP PLATE WELDING</t>
  </si>
  <si>
    <t xml:space="preserve"> CH- PP PLATE WELDING</t>
  </si>
  <si>
    <t xml:space="preserve"> CH- PP PLATE FACE GRINDING</t>
  </si>
  <si>
    <t>12310 mm</t>
  </si>
  <si>
    <t xml:space="preserve"> CHANNEL DAVIT ARM WELDING</t>
  </si>
  <si>
    <t xml:space="preserve"> CH-DAVIT ARM arm match</t>
  </si>
  <si>
    <t>1480 lg</t>
  </si>
  <si>
    <t xml:space="preserve"> CH-DAVIT ARM FIT UP</t>
  </si>
  <si>
    <t>F,W,H</t>
  </si>
  <si>
    <t>1251 lg</t>
  </si>
  <si>
    <t xml:space="preserve"> CH-DAVIT ARM WELDING</t>
  </si>
  <si>
    <t xml:space="preserve"> CHANNEL NDE &amp; PWHT</t>
  </si>
  <si>
    <t>CH ALL WELDING DRESSUP &amp; DP CHECK</t>
  </si>
  <si>
    <t>1480lg</t>
  </si>
  <si>
    <t xml:space="preserve"> CH-CH NDE CLEARENCE</t>
  </si>
  <si>
    <t>BARREL FABRICATION</t>
  </si>
  <si>
    <t>BARREL SH PLATE CUTTING &amp; EP</t>
  </si>
  <si>
    <t>BARREL PLATE TRNASFER</t>
  </si>
  <si>
    <t>373 mm</t>
  </si>
  <si>
    <t>BARREL-MARKING</t>
  </si>
  <si>
    <t>11300 mm</t>
  </si>
  <si>
    <t>BARREL-CUTTING</t>
  </si>
  <si>
    <t>BARREL PL SIDE GRINDING</t>
  </si>
  <si>
    <t>BARREL-BEVELLING CIR SIDE</t>
  </si>
  <si>
    <t>BAR SHELL ROLLING</t>
  </si>
  <si>
    <t>BARREL-PRE BEND</t>
  </si>
  <si>
    <t>1664 mm id</t>
  </si>
  <si>
    <t>BARREL-PRE BEND CUT OFF</t>
  </si>
  <si>
    <t>BARREL -PRE LS EP</t>
  </si>
  <si>
    <t>BARREL-ROLLING</t>
  </si>
  <si>
    <t>BARREL SHELL LS FIT UP</t>
  </si>
  <si>
    <t>BARREL-LS CORRECTION</t>
  </si>
  <si>
    <t>BARREL-LS FIT UP</t>
  </si>
  <si>
    <t>BARREL SHELL LS WELDING</t>
  </si>
  <si>
    <t>BARREL-LS WELD ARRANGEMENT</t>
  </si>
  <si>
    <t>BARREL-LS WELDING- TOP SIDE</t>
  </si>
  <si>
    <t>BARREL-LS WELDING- BACK CHIP</t>
  </si>
  <si>
    <t>BARREL-LS INNER WELDING</t>
  </si>
  <si>
    <t>BARREL-LS INNNER FLUSH GRIND</t>
  </si>
  <si>
    <t>BARREL RE ROLLING</t>
  </si>
  <si>
    <t>BARREL LS WELDING RT</t>
  </si>
  <si>
    <t xml:space="preserve"> BAR LS WELDING RT</t>
  </si>
  <si>
    <t>BARREL SHELL CS FLG 1 FIT UP</t>
  </si>
  <si>
    <t xml:space="preserve"> BARREL CIR EP CORRECTION</t>
  </si>
  <si>
    <t xml:space="preserve"> BARREL CS FIT UP FLG1</t>
  </si>
  <si>
    <t xml:space="preserve"> BARREL CS TACK DP CHECK FLG1</t>
  </si>
  <si>
    <t>BARREL SH CS FLG 1 WELDING</t>
  </si>
  <si>
    <t>BARREL CS WELDING TRANSFERE</t>
  </si>
  <si>
    <t>BARREL CS WELDING OUTER FLG1</t>
  </si>
  <si>
    <t>BARREL CS WELDING BACK CHIP FLG1</t>
  </si>
  <si>
    <t>BARREL CS INNER WELDING FLG 1</t>
  </si>
  <si>
    <t>BARREL CS FLUSH GRINDING FLG1</t>
  </si>
  <si>
    <t>BARREL CS FIT UP WITH DISH</t>
  </si>
  <si>
    <t>BARREL LENGTH CUTTING</t>
  </si>
  <si>
    <t>BARREL EP</t>
  </si>
  <si>
    <t>BARREL CS FIT UP DISH</t>
  </si>
  <si>
    <t>BARREL CS TACK DP CHECK DISH</t>
  </si>
  <si>
    <t>BARREL CS WELDING WITH DISH</t>
  </si>
  <si>
    <t>BARREL CS WELDING TRANSFERE DISH</t>
  </si>
  <si>
    <t>BARREL CS WELDING OUTER DISH</t>
  </si>
  <si>
    <t>BARREL CS WELDING BACK CHIP DISH</t>
  </si>
  <si>
    <t>BARREL CS INNER WELDING DISH</t>
  </si>
  <si>
    <t>BARREL CS FLUSH GRINDING DISH</t>
  </si>
  <si>
    <t>BARREL CS FLG 1 &amp; DISH WELDING rt</t>
  </si>
  <si>
    <t>BARREL CS WELDING RT</t>
  </si>
  <si>
    <t>BARREL NOZ OREINATION MARKING</t>
  </si>
  <si>
    <t>BARREL- NOZ IREIENTATION NKG</t>
  </si>
  <si>
    <t xml:space="preserve">BARREL-NOZ MARKING- 2 </t>
  </si>
  <si>
    <t>BARREL NOZZLE OPPENING</t>
  </si>
  <si>
    <t>BARREL-NOZ OPENNING-40 NB - LWN</t>
  </si>
  <si>
    <t>40NB</t>
  </si>
  <si>
    <t>BARREL NOZ EDGE PREPARATION</t>
  </si>
  <si>
    <t>BARREL NOZZZLE FIT UP</t>
  </si>
  <si>
    <t>BARREL-NOZ FIT UP -N5A</t>
  </si>
  <si>
    <t>NO</t>
  </si>
  <si>
    <t>BARREL-NOZ FIT UP -N6A</t>
  </si>
  <si>
    <t>BARREL NOZ FIT UP INSPECTION</t>
  </si>
  <si>
    <t>BARREL-NOZ INSPN -5A</t>
  </si>
  <si>
    <t>INS</t>
  </si>
  <si>
    <t>BARREL-NOZ INSPN-6A</t>
  </si>
  <si>
    <t>BARREL NOZZLE WELDING</t>
  </si>
  <si>
    <t>BARREL NOZ WELDING ARRANGEMENT</t>
  </si>
  <si>
    <t>BARREL-NOZ WELDING -N5A</t>
  </si>
  <si>
    <t>75 MM</t>
  </si>
  <si>
    <t>BARREL-NOZ WELDING-N6A</t>
  </si>
  <si>
    <t>BARREL NOZ ROOT DP</t>
  </si>
  <si>
    <t>BARREL-NOZ INNER WELDING -N5A</t>
  </si>
  <si>
    <t>BARREL-NOZ INNER WELDING-N6A</t>
  </si>
  <si>
    <t>BARREL NOZ INNER WELD FLUSH GRIND</t>
  </si>
  <si>
    <t>BARREL ALL WELDING DRESSUP &amp; DP</t>
  </si>
  <si>
    <t>BARREL-BARREL NDE CLEARENCE</t>
  </si>
  <si>
    <t>STD</t>
  </si>
  <si>
    <t>FL HEAD FABRICATION</t>
  </si>
  <si>
    <t>FLAOTING HEAD DISH FORMING</t>
  </si>
  <si>
    <t>FL HEAD DISH PL ISSUE</t>
  </si>
  <si>
    <t>FL HEAD PL MARKING</t>
  </si>
  <si>
    <t>1550 mm id</t>
  </si>
  <si>
    <t>FL HEAD PL STAMPING</t>
  </si>
  <si>
    <t>FL HEAD PL CUTTING</t>
  </si>
  <si>
    <t>FL HEAD PL GRINDING</t>
  </si>
  <si>
    <t>FL HEAD FORMIG</t>
  </si>
  <si>
    <t>FL HEAD FORMING</t>
  </si>
  <si>
    <t>FL HEAD PROFILE CHECK</t>
  </si>
  <si>
    <t>FL HEAD CUTTING</t>
  </si>
  <si>
    <t>FL HEAD MARKING</t>
  </si>
  <si>
    <t>Hr/No</t>
  </si>
  <si>
    <t>FL HEAD EP</t>
  </si>
  <si>
    <t>FL HEAD GRINDING</t>
  </si>
  <si>
    <t>FL HEAD FIT UP</t>
  </si>
  <si>
    <t>FL HEAD WELDING</t>
  </si>
  <si>
    <t>FL HEAD PP PLATE FIT UP</t>
  </si>
  <si>
    <t>FL HEAD PP PL WELDING</t>
  </si>
  <si>
    <t>3000 mm</t>
  </si>
  <si>
    <t>FL HEAD PP PL LEVEL GRINDING</t>
  </si>
  <si>
    <t>FL HEAD INSPECTION</t>
  </si>
  <si>
    <t>FL HEAD SR &amp; MACHINING</t>
  </si>
  <si>
    <t>FL HEAD SR</t>
  </si>
  <si>
    <t>FL HEAD FINAL MACHINING</t>
  </si>
  <si>
    <t>FL HEAD HOLE MARKING</t>
  </si>
  <si>
    <t>FL HEAD HOLE DRILLING</t>
  </si>
  <si>
    <t>140 mm</t>
  </si>
  <si>
    <t>hole</t>
  </si>
  <si>
    <t>FL HEAD FINAL INSPECTION</t>
  </si>
  <si>
    <t>TUBE BUNDLE FABRICATION</t>
  </si>
  <si>
    <t xml:space="preserve"> TUBE BUNDLE ASSY</t>
  </si>
  <si>
    <t xml:space="preserve"> FRAME SET UP &amp; TUBE SHT SET UP</t>
  </si>
  <si>
    <t>F[2],W</t>
  </si>
  <si>
    <t>145T</t>
  </si>
  <si>
    <t>1308 tube</t>
  </si>
  <si>
    <t xml:space="preserve"> SKELITON ASSY- 19 baffle</t>
  </si>
  <si>
    <t>F[2],H[3]</t>
  </si>
  <si>
    <t>19 baffle</t>
  </si>
  <si>
    <t xml:space="preserve"> TUBE INSERT</t>
  </si>
  <si>
    <t>F,H[4]</t>
  </si>
  <si>
    <t>7000 lg</t>
  </si>
  <si>
    <t xml:space="preserve"> SEAL ROD INSERT &amp; WELD</t>
  </si>
  <si>
    <t>F[2],W,H[2]</t>
  </si>
  <si>
    <t>5134 lg</t>
  </si>
  <si>
    <t>SLIDING STRIP FIT UP WELDING</t>
  </si>
  <si>
    <t xml:space="preserve"> SEALING STRIP FIT UP </t>
  </si>
  <si>
    <t>4592 mm lg</t>
  </si>
  <si>
    <t xml:space="preserve"> SLIDING STRIP WELDING</t>
  </si>
  <si>
    <t>60 joints</t>
  </si>
  <si>
    <t>Joint</t>
  </si>
  <si>
    <t>SEAL/SLID TRIP WELD GRIND</t>
  </si>
  <si>
    <t>TUBE BUNDLE INSERT</t>
  </si>
  <si>
    <t>TUBE BUNDLE INSERT IN SHELL</t>
  </si>
  <si>
    <t>F[3],H[8]</t>
  </si>
  <si>
    <t>7000 LG</t>
  </si>
  <si>
    <t>FL HEAD TUBE SHT FIXING</t>
  </si>
  <si>
    <t>F[2],H[4]</t>
  </si>
  <si>
    <t>145MM</t>
  </si>
  <si>
    <t>TEST FLG &amp; GLAND ASSY</t>
  </si>
  <si>
    <t>F[3],H[6]</t>
  </si>
  <si>
    <t>165 MM</t>
  </si>
  <si>
    <t>Bolts</t>
  </si>
  <si>
    <t>TUBE EXPANSION IN GROOVES</t>
  </si>
  <si>
    <t>TUBE EXP - ST SIDE - 1 STAGE</t>
  </si>
  <si>
    <t>150 mm</t>
  </si>
  <si>
    <t>1308 nos</t>
  </si>
  <si>
    <t>Rolling</t>
  </si>
  <si>
    <t>TUBE EXP - FL SIDE - 1 STAGE</t>
  </si>
  <si>
    <t xml:space="preserve">Servo </t>
  </si>
  <si>
    <t>TUBE TRIMMING FL SIDE</t>
  </si>
  <si>
    <t>Trimm</t>
  </si>
  <si>
    <t>TUBE EXP BOTH SIDE - 4 STAGE</t>
  </si>
  <si>
    <t>F[2],H[2]</t>
  </si>
  <si>
    <t>150MM</t>
  </si>
  <si>
    <t>2616 Roll</t>
  </si>
  <si>
    <t>TUBE EXP- PNUEMATIC TEST</t>
  </si>
  <si>
    <t>TUBE EXP PNUEMATIC TEST</t>
  </si>
  <si>
    <t>Test</t>
  </si>
  <si>
    <t>PNUEMATIC TEST TPI WITNESS</t>
  </si>
  <si>
    <t xml:space="preserve">CLEANING </t>
  </si>
  <si>
    <t>TUBE TUBE SHEET WELDING- FT SIDE</t>
  </si>
  <si>
    <t>TUBE WELDING - ST SIDE ROOT</t>
  </si>
  <si>
    <t>TW,H</t>
  </si>
  <si>
    <t>25.4 od</t>
  </si>
  <si>
    <t>Run</t>
  </si>
  <si>
    <t>TUBE WELDING - ST SIDE ROOT DP</t>
  </si>
  <si>
    <t>TUBE WELDING - ST SIDE FINAL WELD</t>
  </si>
  <si>
    <t>TUBE WELDING - ST SIDE FINAL DP</t>
  </si>
  <si>
    <t>TUBE TO TUBE SHEET WELDING - FL HEAD SIDE</t>
  </si>
  <si>
    <t>TUBE WELDING - FLH SIDE ROOT</t>
  </si>
  <si>
    <t>TUBE WELDING - FLH SIDE ROOT DP</t>
  </si>
  <si>
    <t>TUBE WELDING - FLH SIDE FINAL WELD</t>
  </si>
  <si>
    <t>TUBE WELDING - FLH SIDE FINAL DP</t>
  </si>
  <si>
    <t>SHELL SIDE HYDRO</t>
  </si>
  <si>
    <t>SHELL SIDE WATER FILLING</t>
  </si>
  <si>
    <t xml:space="preserve"> SHELL SIDE TPI WITNESS</t>
  </si>
  <si>
    <t xml:space="preserve"> DE WATERING &amp; DISMANTLE OF GLAND</t>
  </si>
  <si>
    <t xml:space="preserve"> BAR-DISH BLANK MARKING - 24 * 1670</t>
  </si>
  <si>
    <t>SF MARKING</t>
  </si>
  <si>
    <t>SF CUTTING</t>
  </si>
  <si>
    <t>SF GRIDNING &amp; EP</t>
  </si>
  <si>
    <t>TUBE SHEET MACHINING 1 OFF 2</t>
  </si>
  <si>
    <t>INWARD INSPECTION</t>
  </si>
  <si>
    <t>TUBE SHEET M/C - 1/2</t>
  </si>
  <si>
    <t>EXP GROOVE+WELDING GROOVE -2/2</t>
  </si>
  <si>
    <t>TIE ROD, PULLING, LIFTING HOLE - 2/2</t>
  </si>
  <si>
    <t>SH NOZZLE PIPE PROFILE CUTTING</t>
  </si>
  <si>
    <t>INTER CONNECTION NOZZLE WELDING</t>
  </si>
  <si>
    <t>BOT SH , CH AND TOP SH ,CH STACKING</t>
  </si>
  <si>
    <t>INTER CON NOZ FIT UP - ON SH</t>
  </si>
  <si>
    <t>INTER CON NOZ FIT UP- ON CH</t>
  </si>
  <si>
    <t>400NB</t>
  </si>
  <si>
    <t>INTER CON NOZ WELDING - ON SH</t>
  </si>
  <si>
    <t>972 mm dia</t>
  </si>
  <si>
    <t>INTER CON NOZ WELDING- ON CH</t>
  </si>
  <si>
    <t>407 mm dia</t>
  </si>
  <si>
    <t>DISMANTLING</t>
  </si>
  <si>
    <t>INTER CON NOZ FLUSH GRIND &amp; DP-ON SH</t>
  </si>
  <si>
    <t>INTER CON NOZ FLUSH GRIND &amp; DP-ON CH</t>
  </si>
  <si>
    <t>IN CON NOZ RT</t>
  </si>
  <si>
    <t xml:space="preserve"> TUBE TUBE SHEET WELDING- FT SIDE</t>
  </si>
  <si>
    <t xml:space="preserve"> TUBE WELDING - ST SIDE ROOT</t>
  </si>
  <si>
    <t xml:space="preserve"> TUBE WELDING - ST SIDE ROOT DP</t>
  </si>
  <si>
    <t xml:space="preserve"> TUBE WELDING - ST SIDE FINAL WELD</t>
  </si>
  <si>
    <t xml:space="preserve"> TUBE WELDING - ST SIDE FINAL DP</t>
  </si>
  <si>
    <t xml:space="preserve"> TUBE WELDING - FLH SIDE ROOT</t>
  </si>
  <si>
    <t xml:space="preserve"> TUBE WELDING - FLH SIDE ROOT DP</t>
  </si>
  <si>
    <t xml:space="preserve"> TUBE WELDING - FLH SIDE FINAL WELD</t>
  </si>
  <si>
    <t xml:space="preserve"> TUBE WELDING - FLH SIDE FINAL DP</t>
  </si>
  <si>
    <t xml:space="preserve"> SHELL SIDE HYDRO</t>
  </si>
  <si>
    <t xml:space="preserve">CHANNEL SIDE HYDRO - STACKED </t>
  </si>
  <si>
    <t>HE 1 &amp; 2 STACKING</t>
  </si>
  <si>
    <t>CH &amp; INT CON NOZ TIGHT</t>
  </si>
  <si>
    <t>9178 lg</t>
  </si>
  <si>
    <t>WATER FILL</t>
  </si>
  <si>
    <t>CH SIDE HYDRO</t>
  </si>
  <si>
    <t>CH SIDE HYDRO TPI WITNESS</t>
  </si>
  <si>
    <t>DE WATERING</t>
  </si>
  <si>
    <t xml:space="preserve">SHELL SIDE HYDRO - STACKED </t>
  </si>
  <si>
    <t>BARREL ASSY</t>
  </si>
  <si>
    <t>SHELL SIDE HYDRO- STACKED TPI WITNESS</t>
  </si>
  <si>
    <t>NITORGEN PURGING</t>
  </si>
  <si>
    <t>N2 GAS PURGING</t>
  </si>
  <si>
    <t>PAINTING</t>
  </si>
  <si>
    <t>PRIMER PAINTING</t>
  </si>
  <si>
    <t>INTERMEDIATE PAINTING</t>
  </si>
  <si>
    <t>TOP COAT PAINTING</t>
  </si>
  <si>
    <t xml:space="preserve"> SH PLATE-SA 516 Gr60</t>
  </si>
  <si>
    <t xml:space="preserve"> SH GIRTH FLANGE-SA266 Gr4</t>
  </si>
  <si>
    <t xml:space="preserve"> CH PLATE-SA 516 Gr60</t>
  </si>
  <si>
    <t xml:space="preserve"> CH GIRTH FLANGE-SA 266 Gr4</t>
  </si>
  <si>
    <t xml:space="preserve"> BARREL DISH BLANK ISSUENCE</t>
  </si>
  <si>
    <t xml:space="preserve"> BARREL-DISH BLANK MARKING - 24 * 1670 OD</t>
  </si>
  <si>
    <t xml:space="preserve"> BARREL-DISH BLANK MARKING INSPECTION</t>
  </si>
  <si>
    <t xml:space="preserve"> BARREL-DISH BLANK CUTTING</t>
  </si>
  <si>
    <t xml:space="preserve"> BARREL-DISH FORMING</t>
  </si>
  <si>
    <t>1664 id</t>
  </si>
  <si>
    <t>day</t>
  </si>
  <si>
    <t>NOZ FAB</t>
  </si>
  <si>
    <t xml:space="preserve"> SH NOZ PIPE PROFILE CUTTING</t>
  </si>
  <si>
    <t xml:space="preserve"> SH NOZ PIPE PR0FILE EP</t>
  </si>
  <si>
    <t>272 mm</t>
  </si>
  <si>
    <t>CH NOZ PIPE PROFILE CUTTING</t>
  </si>
  <si>
    <t>CH NOZ PIPE PR0FILE EP</t>
  </si>
  <si>
    <t>F[2],H[2],W</t>
  </si>
  <si>
    <t xml:space="preserve"> CH COVER HANDLE PREPATAION</t>
  </si>
  <si>
    <t>Hra</t>
  </si>
  <si>
    <t xml:space="preserve"> SH MARKING &amp; CUTTING</t>
  </si>
  <si>
    <t xml:space="preserve"> SH PLATE CUTTING</t>
  </si>
  <si>
    <t xml:space="preserve"> SH PLATE EDGE PREPARATION</t>
  </si>
  <si>
    <t xml:space="preserve"> SH PRE BENDING</t>
  </si>
  <si>
    <t xml:space="preserve"> SH PL PRE BEND CUT OFF</t>
  </si>
  <si>
    <t xml:space="preserve"> SH PLATE LS EP</t>
  </si>
  <si>
    <t xml:space="preserve"> SH ROLLING</t>
  </si>
  <si>
    <t xml:space="preserve"> SH CIR LENGTH &amp; EP CORRECTION</t>
  </si>
  <si>
    <t xml:space="preserve"> SH LS SEAMS FIT UP</t>
  </si>
  <si>
    <t xml:space="preserve"> SH LONG SEAM OUTER WELDING</t>
  </si>
  <si>
    <t xml:space="preserve"> NOZ ORIENTATION  MARKING</t>
  </si>
  <si>
    <t xml:space="preserve"> SH NOZ OPENNING</t>
  </si>
  <si>
    <t xml:space="preserve"> SH NOZ EP</t>
  </si>
  <si>
    <t xml:space="preserve"> SH NOZ FIT UP INSPECTION</t>
  </si>
  <si>
    <t xml:space="preserve"> SH NOZ WELDING</t>
  </si>
  <si>
    <t>CH FABRICATION</t>
  </si>
  <si>
    <t xml:space="preserve"> CH SH ROLLING</t>
  </si>
  <si>
    <t xml:space="preserve"> CH NOZ MARKING</t>
  </si>
  <si>
    <t>RF PAD FIT UP &amp; NOZ fit up</t>
  </si>
  <si>
    <t xml:space="preserve"> CH PP PLATE FIT UP</t>
  </si>
  <si>
    <t xml:space="preserve"> CH DAVIT ARM WELDING</t>
  </si>
  <si>
    <t xml:space="preserve"> CH NDE &amp; PWHT</t>
  </si>
  <si>
    <t>BARREL SHELL ROLLING</t>
  </si>
  <si>
    <t>BARREL NOZ OPPENING</t>
  </si>
  <si>
    <t>BARREL NOZ WELDING</t>
  </si>
  <si>
    <t>SEALING TRIP WELD GRIND</t>
  </si>
  <si>
    <t xml:space="preserve"> SH SIDE HYDRO</t>
  </si>
  <si>
    <t>SH SIDE WATER FILLING</t>
  </si>
  <si>
    <t xml:space="preserve"> SH SIDE TPI WITNESS</t>
  </si>
  <si>
    <t>133-EE-1006-B</t>
  </si>
  <si>
    <t>INTER CONNECTION NOZ WELDING</t>
  </si>
  <si>
    <t>Dia</t>
  </si>
  <si>
    <t>INTER CON NOZ FLUSH GRIND &amp; DP - ON SH</t>
  </si>
  <si>
    <t>INTER CON NOZ FLUSH GRIND &amp; DP  - ON CH</t>
  </si>
  <si>
    <t xml:space="preserve">CH SIDE HYDRO - STACKED </t>
  </si>
  <si>
    <t xml:space="preserve">SH SIDE HYDRO - STACKED </t>
  </si>
  <si>
    <t>BARREL ASSEBLY</t>
  </si>
  <si>
    <t>PLATE THK</t>
  </si>
  <si>
    <t>MARKING</t>
  </si>
  <si>
    <t>CUTTING</t>
  </si>
  <si>
    <t>SURFACE GRINDING</t>
  </si>
  <si>
    <t>BEVEL CUTTING</t>
  </si>
  <si>
    <t>BEVEL GRINDING</t>
  </si>
  <si>
    <t>PRE BENDING</t>
  </si>
  <si>
    <t>PRE BEND CUT OFF</t>
  </si>
  <si>
    <t>LONG SEAM EP</t>
  </si>
  <si>
    <t>LS FIT UP</t>
  </si>
  <si>
    <t>WELDING  ARRANGEMENT</t>
  </si>
  <si>
    <t>LS WELDING</t>
  </si>
  <si>
    <t>CS EP CORRECTION</t>
  </si>
  <si>
    <t>SH LENGTH CUTTING</t>
  </si>
  <si>
    <t>CIR SEAM EP</t>
  </si>
  <si>
    <t>CIR SEAM FIT UP</t>
  </si>
  <si>
    <t>CIR SEAM WELDING</t>
  </si>
  <si>
    <t>CIR SEAM BACK CHIP</t>
  </si>
  <si>
    <t>CIR SEAM INSIDE WELD</t>
  </si>
  <si>
    <t>CIR SEAM FLUSH GRIND</t>
  </si>
  <si>
    <t>DAVIT ARM FIT UP</t>
  </si>
  <si>
    <t>FILLET WELDING</t>
  </si>
  <si>
    <t>FILLET +GROOVE WELDING</t>
  </si>
  <si>
    <t>PIPE</t>
  </si>
  <si>
    <t>PIPE MARKING</t>
  </si>
  <si>
    <t>PIPE CUTTING</t>
  </si>
  <si>
    <t>PIPE EP</t>
  </si>
  <si>
    <t>PIPE+FLG FIT UP</t>
  </si>
  <si>
    <t>NOZZLE OPEN</t>
  </si>
  <si>
    <t>PIPE FLUSH GRIND</t>
  </si>
  <si>
    <t>PIPE PROFILE MARKING</t>
  </si>
  <si>
    <t>PIPE PROFILE CUTTING</t>
  </si>
  <si>
    <t>PIPE  PROFILE  GRINDING</t>
  </si>
  <si>
    <t>NOZ+SHELL FIT UP</t>
  </si>
  <si>
    <t>RF PAD CUTTING</t>
  </si>
  <si>
    <t>RF PAD GRINDING</t>
  </si>
  <si>
    <t>RF PAD FORMING</t>
  </si>
  <si>
    <t>RF PAD FITP</t>
  </si>
  <si>
    <t>RF PAD WELDING</t>
  </si>
  <si>
    <t>RF PAD AIR TEST</t>
  </si>
  <si>
    <t>RF PAD MARKING</t>
  </si>
  <si>
    <t>25NB</t>
  </si>
  <si>
    <t>50NB</t>
  </si>
  <si>
    <t>65NB</t>
  </si>
  <si>
    <t>80NB</t>
  </si>
  <si>
    <t>100NB</t>
  </si>
  <si>
    <t>150NB</t>
  </si>
  <si>
    <t>200NB</t>
  </si>
  <si>
    <t>250NB</t>
  </si>
  <si>
    <t>300NB</t>
  </si>
  <si>
    <t>350NB</t>
  </si>
  <si>
    <t>450NB</t>
  </si>
  <si>
    <t>500NB</t>
  </si>
  <si>
    <t>600NB</t>
  </si>
  <si>
    <t>650NB</t>
  </si>
  <si>
    <t>750nb</t>
  </si>
  <si>
    <t>NOZZLE WORK</t>
  </si>
  <si>
    <t>DIA</t>
  </si>
  <si>
    <t>FRAME SET UP</t>
  </si>
  <si>
    <t>ST TUBE SET ASSY</t>
  </si>
  <si>
    <t>TIE ROD FIX</t>
  </si>
  <si>
    <t>BAFFLE FIXING</t>
  </si>
  <si>
    <t>TUBE INSERT</t>
  </si>
  <si>
    <t>FL HEAD TUBE SHT FIX</t>
  </si>
  <si>
    <t>SEAL+SLID ST FIT UP</t>
  </si>
  <si>
    <t>SEAL+SLID ST WELDING</t>
  </si>
  <si>
    <t>SEAL ROD WELDING</t>
  </si>
  <si>
    <t>SEAL/SLID WELD GRIND</t>
  </si>
  <si>
    <t>BUNDLE INSERT</t>
  </si>
  <si>
    <t>BOLT ASSY</t>
  </si>
  <si>
    <t>BOLT LOOSENNING</t>
  </si>
  <si>
    <t>CHANNEL ASSY</t>
  </si>
  <si>
    <t>CH COVER ASSY</t>
  </si>
  <si>
    <t>FL HEAD ASSY</t>
  </si>
  <si>
    <t>TUBE EXP</t>
  </si>
  <si>
    <t>TUBE TRIMMING</t>
  </si>
  <si>
    <t>TUBE WELDING</t>
  </si>
  <si>
    <t xml:space="preserve"> SHELL &amp; DISH Marking.</t>
  </si>
  <si>
    <t>ACTIVITY J 4220 B</t>
  </si>
  <si>
    <t>MOC</t>
  </si>
  <si>
    <t>W</t>
  </si>
  <si>
    <t>LONG/ CIR</t>
  </si>
  <si>
    <t>WORK</t>
  </si>
  <si>
    <t>BENCH MARK TIME</t>
  </si>
  <si>
    <t>SETTING TIME</t>
  </si>
  <si>
    <t>DURATION -HR</t>
  </si>
  <si>
    <t>SH-MARKING</t>
  </si>
  <si>
    <t>CS</t>
  </si>
  <si>
    <t>M</t>
  </si>
  <si>
    <t>-</t>
  </si>
  <si>
    <t>SH-CUTTING</t>
  </si>
  <si>
    <t>SH-SIDE GRINDING</t>
  </si>
  <si>
    <t>SH-BEVEL CUTTING</t>
  </si>
  <si>
    <t>SH-BEVEL GRINDING</t>
  </si>
  <si>
    <t>SH-PRE BENDING</t>
  </si>
  <si>
    <t>SH-PRE BEND CUT OFF</t>
  </si>
  <si>
    <t>SH-LONG SEAM BEVEL</t>
  </si>
  <si>
    <t>SH-LS EP</t>
  </si>
  <si>
    <t>MTR</t>
  </si>
  <si>
    <t>SH-ROLLING</t>
  </si>
  <si>
    <t>SH-LS FIT UP</t>
  </si>
  <si>
    <t>1500 ID</t>
  </si>
  <si>
    <t>SH-LS TACK DP CHECK</t>
  </si>
  <si>
    <t>SH-LS WELDING ARRANGMENT</t>
  </si>
  <si>
    <t>SH-LS WELDING- OUTER</t>
  </si>
  <si>
    <t>SH-LS WELDING BACK CHIIP</t>
  </si>
  <si>
    <t>1500 id</t>
  </si>
  <si>
    <t>SH-LS WELDING INNER</t>
  </si>
  <si>
    <t>SH-LS WLDING FLUSH GRIND</t>
  </si>
  <si>
    <t>SH-RE ROLLING</t>
  </si>
  <si>
    <t>1500ID</t>
  </si>
  <si>
    <t>SH- LS RT</t>
  </si>
  <si>
    <t>1550 ID</t>
  </si>
  <si>
    <t>2500 LG</t>
  </si>
  <si>
    <t>1 DAY</t>
  </si>
  <si>
    <t>2000 LG</t>
  </si>
  <si>
    <t>1000 LG</t>
  </si>
  <si>
    <t>SH-CS EP CORRECTION</t>
  </si>
  <si>
    <t>SH-CIR SEAM FIT UP -1</t>
  </si>
  <si>
    <t>SH-CIR SEAM FIT UP -2</t>
  </si>
  <si>
    <t>ID-MM</t>
  </si>
  <si>
    <t>LONG-MM</t>
  </si>
  <si>
    <t>SH-CIR SEAM WLDING-1</t>
  </si>
  <si>
    <t>HR/MTR</t>
  </si>
  <si>
    <t>SH-CIR SEAM WLDING-2</t>
  </si>
  <si>
    <t>SH-CIR SEAM BACK CHIP-1</t>
  </si>
  <si>
    <t>SH-CIR SEAM BACK CHIP-2</t>
  </si>
  <si>
    <t>SH-CIR SEAM INNER WELDING-1</t>
  </si>
  <si>
    <t>SH-CIR SEAM INNER WELDING-2</t>
  </si>
  <si>
    <t>SH-CIR SEAM FIT UP - 8 MTR</t>
  </si>
  <si>
    <t>SH-CIR SEAM WELDING</t>
  </si>
  <si>
    <t>SH-CIR SEAM BACK CHIP</t>
  </si>
  <si>
    <t>SH-CIR SEAM INNER WELDING</t>
  </si>
  <si>
    <t xml:space="preserve">SH-CIR SEAM FLUSH GRIND </t>
  </si>
  <si>
    <t>SH-CIR SEAM RT</t>
  </si>
  <si>
    <t>SH-TOTAL LENGTH MKG</t>
  </si>
  <si>
    <t>SH- TOTAL LENGTH CTG</t>
  </si>
  <si>
    <t>SH- CS EP BOTH SIDE</t>
  </si>
  <si>
    <t>SH-CS FLG 1&amp;2 FIT UP</t>
  </si>
  <si>
    <t>SH-CS FLG 1&amp;2 WELDING</t>
  </si>
  <si>
    <t>SH-CS FLG 1&amp;2 BACK CHIP</t>
  </si>
  <si>
    <t>SH-CS FLG 1&amp;2 INNER WELD</t>
  </si>
  <si>
    <t>SH-OREINTAION MARKING</t>
  </si>
  <si>
    <t>8437 LG</t>
  </si>
  <si>
    <t>SH-NOZZLE MARKING</t>
  </si>
  <si>
    <t>std</t>
  </si>
  <si>
    <t>30"</t>
  </si>
  <si>
    <t>SRN</t>
  </si>
  <si>
    <t>SH-NOZZLE OPENNIING</t>
  </si>
  <si>
    <t>ON SHELL</t>
  </si>
  <si>
    <t>SH-NOZZLE OPENNIING EP</t>
  </si>
  <si>
    <t>SH-NOZ FIT UP</t>
  </si>
  <si>
    <t>SH-NOZ WELDING</t>
  </si>
  <si>
    <t>SH-NOZ WELDIG BACK CHIP</t>
  </si>
  <si>
    <t>SH-NOZ INNER WELDING</t>
  </si>
  <si>
    <t>SH-SUPPORT PAD FIT UP</t>
  </si>
  <si>
    <t>SH-WELDING</t>
  </si>
  <si>
    <t>SH-SUPPORT FIT UP</t>
  </si>
  <si>
    <t>SH-SUPPORT WELDING</t>
  </si>
  <si>
    <t>SH- DAVIT SUPPORT FIT UP</t>
  </si>
  <si>
    <t>SH- DAVIT WELDING</t>
  </si>
  <si>
    <t>SC-DISH BLANK MARKING</t>
  </si>
  <si>
    <t>SC- DISH BLANK CUTTING</t>
  </si>
  <si>
    <t>SC- DISH BLANK GRINDING</t>
  </si>
  <si>
    <t>SC-SH MARKING</t>
  </si>
  <si>
    <t>SC- SH CUTTING</t>
  </si>
  <si>
    <t>SC- SH GRINDING</t>
  </si>
  <si>
    <t>SC- SH BEVEL CUTTING</t>
  </si>
  <si>
    <t>SC- SH BEVEL GRINDING</t>
  </si>
  <si>
    <t>SC-PRE BENDING</t>
  </si>
  <si>
    <t>1640 ID</t>
  </si>
  <si>
    <t>425 LG</t>
  </si>
  <si>
    <t>SC-PRE BEND CUT OFF</t>
  </si>
  <si>
    <t>SC-LONG SEAM BEVEL</t>
  </si>
  <si>
    <t>SC-ROLLING</t>
  </si>
  <si>
    <t>425LG</t>
  </si>
  <si>
    <t>SC-LS CORRECTION</t>
  </si>
  <si>
    <t>SC-LS FIT UP</t>
  </si>
  <si>
    <t>SC-LS WELDING ARRANGMENT</t>
  </si>
  <si>
    <t>SC-LS WELDING- OUTER</t>
  </si>
  <si>
    <t>SC-LS WELDING BACK CHIIP</t>
  </si>
  <si>
    <t>SC-LS WELDING INNER</t>
  </si>
  <si>
    <t>SC-LS WLDING FLUSH GRIND</t>
  </si>
  <si>
    <t>SC-RE ROLLING</t>
  </si>
  <si>
    <t>SC- LS RT</t>
  </si>
  <si>
    <t>SC-CS EP CORRECTION</t>
  </si>
  <si>
    <t>SC-CIR SEAM FIT UP -DISH</t>
  </si>
  <si>
    <t>SC-CIR SEAM WLDING</t>
  </si>
  <si>
    <t>SC-CIR SEAM BACK CHIP</t>
  </si>
  <si>
    <t>SC-CIR SEAM INNER WELDING</t>
  </si>
  <si>
    <t>SC-CIR SEAM FIT UP FLG</t>
  </si>
  <si>
    <t>SC-CIR SEAM WELDING</t>
  </si>
  <si>
    <t xml:space="preserve">SC-CIR SEAM FLUSH GRIND </t>
  </si>
  <si>
    <t>SC-CIR SEAM RT</t>
  </si>
  <si>
    <t>SC-OREINTAION MARKING</t>
  </si>
  <si>
    <t>SC-NOZZLE OPENNIING</t>
  </si>
  <si>
    <t>2"NB</t>
  </si>
  <si>
    <t>SC-NOZZLE EP</t>
  </si>
  <si>
    <t>SC-NOZ FIT UP</t>
  </si>
  <si>
    <t>SC-NOZ WELDING</t>
  </si>
  <si>
    <t>SC-NOZ INNER WELDING</t>
  </si>
  <si>
    <t>CH-MARKING</t>
  </si>
  <si>
    <t>CH-CUTTING</t>
  </si>
  <si>
    <t>CH-SIDE GRINDING</t>
  </si>
  <si>
    <t>CH-BEVEL CUTTING</t>
  </si>
  <si>
    <t>CH-BEVEL GRINDING</t>
  </si>
  <si>
    <t>CH-PRE BENDING</t>
  </si>
  <si>
    <t>CH-PRE BEND CUT OFF</t>
  </si>
  <si>
    <t>CH-LONG SEAM BEVEL</t>
  </si>
  <si>
    <t>CH-ROLLING</t>
  </si>
  <si>
    <t>CH-LS EP CORRECTION</t>
  </si>
  <si>
    <t>CH-LS FIT UP</t>
  </si>
  <si>
    <t>CH-LS WELDING ARRANGMENT</t>
  </si>
  <si>
    <t>CH-LS WELDING- OUTER</t>
  </si>
  <si>
    <t>CH-LS WELDING BACK CHIIP</t>
  </si>
  <si>
    <t>CH-LS WELDING INNER</t>
  </si>
  <si>
    <t>CH-LS WLDING FLUSH GRIND</t>
  </si>
  <si>
    <t>CH-RE ROLLING</t>
  </si>
  <si>
    <t>CH- LS RT</t>
  </si>
  <si>
    <t>CH-CS LENGTH &amp; EP COR</t>
  </si>
  <si>
    <t>CH-CIR SEAM FIT UP - 2 FLG</t>
  </si>
  <si>
    <t>CH-CIR SEAM WLDING</t>
  </si>
  <si>
    <t>CH-CIR SEAM BACK CHIP</t>
  </si>
  <si>
    <t>CH-CIR SEAM INNER WELDING</t>
  </si>
  <si>
    <t xml:space="preserve">CH-CIR SEAM FLUSH GRIND </t>
  </si>
  <si>
    <t>CH-CIR SEAM RT</t>
  </si>
  <si>
    <t>CH-OREINTAION MARKING</t>
  </si>
  <si>
    <t>CH-NOZZLE OPENNIING</t>
  </si>
  <si>
    <t>CH-NOZ FIT UP</t>
  </si>
  <si>
    <t>CH-NOZ WELDING</t>
  </si>
  <si>
    <t>CHC-NOZ WELD BACK CHIP</t>
  </si>
  <si>
    <t>CH-NOZ INNER WELDING</t>
  </si>
  <si>
    <t>CH-NOZ INNER WELD FLUSH GRIND</t>
  </si>
  <si>
    <t>CH-PP PL MARKING</t>
  </si>
  <si>
    <t>CH-PP PL CUTTING</t>
  </si>
  <si>
    <t>CH-PP PL GRINDING</t>
  </si>
  <si>
    <t>CH-PP PL FIT UP</t>
  </si>
  <si>
    <t>CH-PP PL WELDING</t>
  </si>
  <si>
    <t>SH- all welding dress up</t>
  </si>
  <si>
    <t>FL H DISH MARKING</t>
  </si>
  <si>
    <t>FL H DISH CUTTING</t>
  </si>
  <si>
    <t>FL H DISH GRINDING</t>
  </si>
  <si>
    <t>FL H DISH FORMING</t>
  </si>
  <si>
    <t>DAYS</t>
  </si>
  <si>
    <t>10 DAYS</t>
  </si>
  <si>
    <t>FL H DISH MKG AFTER FORM</t>
  </si>
  <si>
    <t>FL H DISH BEVEL CUTTING</t>
  </si>
  <si>
    <t>BOTH SIDE</t>
  </si>
  <si>
    <t>FL H DISH BEVEL GRINDING</t>
  </si>
  <si>
    <t>FL H DISH FIT UP</t>
  </si>
  <si>
    <t>FL H DISH WELDING</t>
  </si>
  <si>
    <t>FH-PP PL MARKING</t>
  </si>
  <si>
    <t>FH-PP PL CUTTING</t>
  </si>
  <si>
    <t>FH-PP PL GRINDING</t>
  </si>
  <si>
    <t>FH-PP PL FIT UP</t>
  </si>
  <si>
    <t>FH-PP PL WELDING</t>
  </si>
  <si>
    <t>FH  GRINDING</t>
  </si>
  <si>
    <t>SEAL ST-MARKING</t>
  </si>
  <si>
    <t>SLAIDING ST-MARKING</t>
  </si>
  <si>
    <t>IMP PL MARKING</t>
  </si>
  <si>
    <t>IMP ROD MARKING</t>
  </si>
  <si>
    <t>DIA 25.4</t>
  </si>
  <si>
    <t>~ 1450</t>
  </si>
  <si>
    <t>HR/ NO</t>
  </si>
  <si>
    <t>SEAL ROD MARKING</t>
  </si>
  <si>
    <t>~7000</t>
  </si>
  <si>
    <t>TIE ROD MARKING</t>
  </si>
  <si>
    <t>DIA 12</t>
  </si>
  <si>
    <t>~ 8000</t>
  </si>
  <si>
    <t>SPACER MARKING</t>
  </si>
  <si>
    <t>21.8 d</t>
  </si>
  <si>
    <t>CON PIECE MARKING</t>
  </si>
  <si>
    <t>SEAL ST-CUTTING</t>
  </si>
  <si>
    <t>SLAIDING ST-CUTTING</t>
  </si>
  <si>
    <t>IMP PL CUTTING</t>
  </si>
  <si>
    <t>IMP ROD CUTTING</t>
  </si>
  <si>
    <t>SEAL ROD CUTTING</t>
  </si>
  <si>
    <t>TIE ROD CUTTING</t>
  </si>
  <si>
    <t>SPACER CUTTING</t>
  </si>
  <si>
    <t>CON PIECE CUTTING</t>
  </si>
  <si>
    <t>SEAL ST-GRINDING</t>
  </si>
  <si>
    <t>SLAIDING ST-GRINDING</t>
  </si>
  <si>
    <t>IMP PL GRININD</t>
  </si>
  <si>
    <t>IMP ROD M/C</t>
  </si>
  <si>
    <t>SEAL ROD M/C</t>
  </si>
  <si>
    <t>TIE ROD M/C</t>
  </si>
  <si>
    <t>SPACER M/C</t>
  </si>
  <si>
    <t>CON PIECE DRILLING</t>
  </si>
  <si>
    <t>TS ASSY</t>
  </si>
  <si>
    <t>TIE ROD ASSY</t>
  </si>
  <si>
    <t>BAFFLE ASSY</t>
  </si>
  <si>
    <t>SEAL ROD ASSY</t>
  </si>
  <si>
    <t>SEAL STRIP FITUP</t>
  </si>
  <si>
    <t>SLIDING STRIP FIT UP</t>
  </si>
  <si>
    <t>WELDING</t>
  </si>
  <si>
    <t>GRINDING</t>
  </si>
  <si>
    <t>BUNDLE INDERT</t>
  </si>
  <si>
    <t>FLH TUBE SHEET ASSY</t>
  </si>
  <si>
    <t>GLAND &amp; TEST RING ASSY</t>
  </si>
  <si>
    <t>TUBE EXP ST SIDE STG1</t>
  </si>
  <si>
    <t>TUBE EXP FL SIDE STG1</t>
  </si>
  <si>
    <t>TUBE EXPANSION BOTH SIDE</t>
  </si>
  <si>
    <t>AIR LEAK TEST</t>
  </si>
  <si>
    <t>DISMANTLE TEST RING</t>
  </si>
  <si>
    <t>BOLT</t>
  </si>
  <si>
    <t>ASSY OF CH &amp; FL HEAD</t>
  </si>
  <si>
    <t>ASSY OF BARREL</t>
  </si>
  <si>
    <t>NOZ PIPE-MARKING</t>
  </si>
  <si>
    <t>NOZ PIPE-CUTTING</t>
  </si>
  <si>
    <t>NOZ PIPE-EP</t>
  </si>
  <si>
    <t>NOZ PIPE+FIT UP</t>
  </si>
  <si>
    <t>PIPE NB</t>
  </si>
  <si>
    <t>PIPE OD</t>
  </si>
  <si>
    <t>NOZ PIPE + FLG WELD</t>
  </si>
  <si>
    <t>NOZ BORE FLUSH GRIND</t>
  </si>
  <si>
    <t>NOZ PROFILE MARKING</t>
  </si>
  <si>
    <t>NOZ PROFILE CUTTING</t>
  </si>
  <si>
    <t>NOZ PROFILE GRINDING</t>
  </si>
  <si>
    <t>NB</t>
  </si>
  <si>
    <t>RF PAD EP</t>
  </si>
  <si>
    <t>WIDTH</t>
  </si>
  <si>
    <t>LENGTH</t>
  </si>
  <si>
    <t>SAD PAD- TOP-MARKING</t>
  </si>
  <si>
    <t>SAD PAD- BOT-MARKING</t>
  </si>
  <si>
    <t>SAD BASE- TOP-MARKING</t>
  </si>
  <si>
    <t>SAD BASE- BOT-MARKING</t>
  </si>
  <si>
    <t>SAD WEB- TOP-MARKING</t>
  </si>
  <si>
    <t>SAD RIB-MARKING</t>
  </si>
  <si>
    <t>SAD PAD- TOP-CUTTING</t>
  </si>
  <si>
    <t>SAD PAD- BOT-CUTTING</t>
  </si>
  <si>
    <t>SAD BASE- TOP-CUTTING</t>
  </si>
  <si>
    <t>SAD BASE- BOT-CUTTING</t>
  </si>
  <si>
    <t>SAD WEB- TOP-CUTTING</t>
  </si>
  <si>
    <t>SAD RIB-CUTTING</t>
  </si>
  <si>
    <t>SADDLE FIT UP</t>
  </si>
  <si>
    <t>SADDLE FIT WELDING</t>
  </si>
  <si>
    <t>vessel od</t>
  </si>
  <si>
    <t>Pad thk</t>
  </si>
  <si>
    <t>Total OD</t>
  </si>
  <si>
    <t>Half Support</t>
  </si>
  <si>
    <t>thk</t>
  </si>
  <si>
    <t>fillet size</t>
  </si>
  <si>
    <t>Long</t>
  </si>
  <si>
    <t>Qty</t>
  </si>
  <si>
    <t>Length of welding</t>
  </si>
  <si>
    <t>welding hr</t>
  </si>
  <si>
    <t>welding time - Hr</t>
  </si>
  <si>
    <t>Saddle base + Web</t>
  </si>
  <si>
    <t>Web+Rib</t>
  </si>
  <si>
    <t>Base to Rib</t>
  </si>
  <si>
    <t>No of Side</t>
  </si>
  <si>
    <t>Tolal long</t>
  </si>
  <si>
    <t>FULL SUPPOR</t>
  </si>
  <si>
    <t>Base to Web- Bot &amp; bot</t>
  </si>
  <si>
    <t>Web to side</t>
  </si>
  <si>
    <t>Side to base</t>
  </si>
  <si>
    <t>Rib to Web</t>
  </si>
  <si>
    <t>Rib to base</t>
  </si>
  <si>
    <t>SC-SH MARKING ,CUTTING &amp; GRINDING</t>
  </si>
  <si>
    <t>SC-SH PRE BEND</t>
  </si>
  <si>
    <t>SC- SH ROLLING &amp; LS FIT UP</t>
  </si>
  <si>
    <t>SC- DISH FLG FIT UP &amp; WELDING</t>
  </si>
  <si>
    <t>SHELL COVER ORENTAION MARKING</t>
  </si>
  <si>
    <t>CH  MARKING ,CUTTING &amp; ROLLING</t>
  </si>
  <si>
    <t>CH LS FIT &amp; WELDING</t>
  </si>
  <si>
    <t>CH FLG FIT &amp; WELDING</t>
  </si>
  <si>
    <t>CH OIRENTAION NOZ WELDING</t>
  </si>
  <si>
    <t>CH PP PLATE MKG, CTG,WELDING</t>
  </si>
  <si>
    <t>FL HEAD DISH</t>
  </si>
  <si>
    <t>TB ITEMS</t>
  </si>
  <si>
    <t>TUBE BUNDLE ASSY</t>
  </si>
  <si>
    <t>JOB NO</t>
  </si>
  <si>
    <t>PART NO</t>
  </si>
  <si>
    <t>ITEM</t>
  </si>
  <si>
    <t>OPERATION</t>
  </si>
  <si>
    <t>DIAMETER</t>
  </si>
  <si>
    <t>LONG</t>
  </si>
  <si>
    <t>EDGE PREPARATION</t>
  </si>
  <si>
    <t>FIT UP</t>
  </si>
  <si>
    <t>BACK CHIP</t>
  </si>
  <si>
    <t>INSIDE WELDING</t>
  </si>
  <si>
    <t>FLUSH GRINDINH</t>
  </si>
  <si>
    <t>MISC</t>
  </si>
  <si>
    <t>TOTAL</t>
  </si>
  <si>
    <t>4170A</t>
  </si>
  <si>
    <t>SHELL</t>
  </si>
  <si>
    <t>LS-1</t>
  </si>
  <si>
    <t>LS-2</t>
  </si>
  <si>
    <t>SH 1+SH 2 JONINIG</t>
  </si>
  <si>
    <t>CS-1</t>
  </si>
  <si>
    <t>SH 1+2+3 JOINING</t>
  </si>
  <si>
    <t>CS-2</t>
  </si>
  <si>
    <t>SH+ FLG JOINING</t>
  </si>
  <si>
    <t>CS-3</t>
  </si>
  <si>
    <t>LENGTH CORRECTION</t>
  </si>
  <si>
    <t>NOZ MARK</t>
  </si>
  <si>
    <t>SERVICE</t>
  </si>
  <si>
    <t>LOC</t>
  </si>
  <si>
    <t>SCH</t>
  </si>
  <si>
    <t>TYPE</t>
  </si>
  <si>
    <t>CLASS</t>
  </si>
  <si>
    <t>PROJ</t>
  </si>
  <si>
    <t>RFP-THK</t>
  </si>
  <si>
    <t>RFP-DIA</t>
  </si>
  <si>
    <t>SH</t>
  </si>
  <si>
    <t>300#</t>
  </si>
  <si>
    <t>WNRF</t>
  </si>
  <si>
    <t>1.5"</t>
  </si>
  <si>
    <t>N7</t>
  </si>
  <si>
    <t>2"</t>
  </si>
  <si>
    <t>N8</t>
  </si>
  <si>
    <t>N9</t>
  </si>
  <si>
    <t>N10</t>
  </si>
  <si>
    <t>SUM</t>
  </si>
  <si>
    <t>26"NB</t>
  </si>
  <si>
    <t>4 NO</t>
  </si>
  <si>
    <t>16"NB</t>
  </si>
  <si>
    <t>CS WELDING</t>
  </si>
  <si>
    <t>ID</t>
  </si>
  <si>
    <t>SH-1</t>
  </si>
  <si>
    <t>SH-2</t>
  </si>
  <si>
    <t>SH-3</t>
  </si>
  <si>
    <t>SH-4</t>
  </si>
  <si>
    <t>CHANNEL</t>
  </si>
  <si>
    <t>BARREL</t>
  </si>
  <si>
    <t>DISH</t>
  </si>
  <si>
    <t xml:space="preserve">BLANK </t>
  </si>
  <si>
    <t>D- MTR</t>
  </si>
  <si>
    <t>Base - top</t>
  </si>
  <si>
    <t>Width</t>
  </si>
  <si>
    <t>Length</t>
  </si>
  <si>
    <t>RMT-CUT</t>
  </si>
  <si>
    <t>Welding</t>
  </si>
  <si>
    <t>Base</t>
  </si>
  <si>
    <t>Web</t>
  </si>
  <si>
    <t>Rib</t>
  </si>
  <si>
    <t>No Saddle</t>
  </si>
  <si>
    <t>Base- Bot</t>
  </si>
  <si>
    <t xml:space="preserve">Side </t>
  </si>
  <si>
    <t>A2</t>
  </si>
  <si>
    <t>D</t>
  </si>
  <si>
    <t>B</t>
  </si>
  <si>
    <t>J1</t>
  </si>
  <si>
    <t>J2</t>
  </si>
  <si>
    <t>N</t>
  </si>
  <si>
    <t>H</t>
  </si>
  <si>
    <t>Status</t>
  </si>
  <si>
    <t>Done</t>
  </si>
  <si>
    <t>AB</t>
  </si>
  <si>
    <t>CD</t>
  </si>
  <si>
    <t>WIP</t>
  </si>
  <si>
    <t>1000 mm</t>
  </si>
  <si>
    <t xml:space="preserve"> BAR-DISH BLANK MARKING - 12 * 764 OD</t>
  </si>
  <si>
    <t>740 MM</t>
  </si>
  <si>
    <t>2323 mm</t>
  </si>
  <si>
    <t>212 holes</t>
  </si>
  <si>
    <t>60 t</t>
  </si>
  <si>
    <t>691 od</t>
  </si>
  <si>
    <t>14THK</t>
  </si>
  <si>
    <t>5757 mm</t>
  </si>
  <si>
    <t>5553 mm</t>
  </si>
  <si>
    <t>2000 mm</t>
  </si>
  <si>
    <t>625 mm id</t>
  </si>
  <si>
    <t>649 mm od</t>
  </si>
  <si>
    <t>5553 lg</t>
  </si>
  <si>
    <t>512 mm</t>
  </si>
  <si>
    <t>160nb</t>
  </si>
  <si>
    <t>6"</t>
  </si>
  <si>
    <t>Shell Inlet</t>
  </si>
  <si>
    <t>N1</t>
  </si>
  <si>
    <t>N2</t>
  </si>
  <si>
    <t>Shell Outlet</t>
  </si>
  <si>
    <t>Channel Inlet</t>
  </si>
  <si>
    <t>Channel Outlet</t>
  </si>
  <si>
    <t>N3</t>
  </si>
  <si>
    <t>N4</t>
  </si>
  <si>
    <t>N5</t>
  </si>
  <si>
    <t>N6</t>
  </si>
  <si>
    <t>Shell Drain</t>
  </si>
  <si>
    <t>Shell Vent</t>
  </si>
  <si>
    <t>MP Connection</t>
  </si>
  <si>
    <t>Time</t>
  </si>
  <si>
    <t>Who</t>
  </si>
  <si>
    <t>Nanda</t>
  </si>
  <si>
    <t>SRK</t>
  </si>
  <si>
    <t>Not Started</t>
  </si>
  <si>
    <t>Date</t>
  </si>
  <si>
    <t>A1</t>
  </si>
  <si>
    <t>Name</t>
  </si>
  <si>
    <t>Full Name</t>
  </si>
  <si>
    <t>Tag</t>
  </si>
  <si>
    <t>Client Status</t>
  </si>
  <si>
    <t>C</t>
  </si>
  <si>
    <t>On Hold</t>
  </si>
  <si>
    <t>Oked</t>
  </si>
  <si>
    <t>E</t>
  </si>
  <si>
    <t>I</t>
  </si>
  <si>
    <t>K</t>
  </si>
  <si>
    <t>A</t>
  </si>
  <si>
    <t>J</t>
  </si>
  <si>
    <t>I1</t>
  </si>
  <si>
    <t>I2</t>
  </si>
  <si>
    <t>4220-133-EE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</si>
</sst>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Verdana"/>
      <charset val="134"/>
    </font>
    <font>
      <b/>
      <sz val="11"/>
      <color theme="0"/>
      <name val="Verdana"/>
      <charset val="134"/>
    </font>
    <font>
      <sz val="8"/>
      <color theme="1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sz val="12"/>
      <color theme="1"/>
      <name val="Aharoni"/>
      <charset val="177"/>
    </font>
    <font>
      <sz val="12"/>
      <color theme="1"/>
      <name val="Calibri"/>
      <charset val="134"/>
      <scheme val="minor"/>
    </font>
    <font>
      <b/>
      <sz val="12"/>
      <color rgb="FF7030A0"/>
      <name val="Aharoni"/>
      <charset val="177"/>
    </font>
    <font>
      <sz val="9"/>
      <color theme="1"/>
      <name val="Verdana"/>
      <charset val="134"/>
    </font>
    <font>
      <b/>
      <sz val="9"/>
      <name val="Verdana"/>
      <charset val="134"/>
    </font>
    <font>
      <sz val="9"/>
      <color rgb="FFFF0000"/>
      <name val="Verdana"/>
      <charset val="134"/>
    </font>
    <font>
      <b/>
      <sz val="9"/>
      <color theme="1"/>
      <name val="Verdana"/>
      <charset val="134"/>
    </font>
    <font>
      <sz val="9"/>
      <color theme="1"/>
      <name val="Verdana"/>
      <charset val="134"/>
    </font>
    <font>
      <b/>
      <sz val="9"/>
      <color rgb="FFFF0000"/>
      <name val="Verdana"/>
      <charset val="134"/>
    </font>
    <font>
      <b/>
      <sz val="9"/>
      <color rgb="FFFF0000"/>
      <name val="Verdana"/>
      <charset val="134"/>
    </font>
    <font>
      <sz val="9"/>
      <name val="Verdana"/>
      <charset val="134"/>
    </font>
    <font>
      <b/>
      <sz val="9"/>
      <color theme="1"/>
      <name val="Verdana"/>
      <charset val="134"/>
    </font>
    <font>
      <sz val="8"/>
      <color theme="1"/>
      <name val="Verdana"/>
      <charset val="134"/>
    </font>
    <font>
      <b/>
      <sz val="8"/>
      <name val="Verdana"/>
      <charset val="134"/>
    </font>
    <font>
      <sz val="8"/>
      <color rgb="FFFF0000"/>
      <name val="Verdana"/>
      <charset val="134"/>
    </font>
    <font>
      <sz val="8"/>
      <color theme="1"/>
      <name val="Calibri"/>
      <charset val="134"/>
      <scheme val="minor"/>
    </font>
    <font>
      <b/>
      <sz val="8"/>
      <color theme="1"/>
      <name val="Verdana"/>
      <charset val="134"/>
    </font>
    <font>
      <sz val="8"/>
      <name val="Verdana"/>
      <charset val="134"/>
    </font>
    <font>
      <b/>
      <sz val="8"/>
      <color rgb="FFFF0000"/>
      <name val="Verdana"/>
      <charset val="134"/>
    </font>
    <font>
      <sz val="10"/>
      <color theme="1"/>
      <name val="Verdana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7" fillId="0" borderId="0"/>
  </cellStyleXfs>
  <cellXfs count="282">
    <xf numFmtId="0" fontId="0" fillId="0" borderId="0" xfId="0"/>
    <xf numFmtId="0" fontId="0" fillId="0" borderId="1" xfId="0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20" fontId="1" fillId="3" borderId="1" xfId="0" applyNumberFormat="1" applyFont="1" applyFill="1" applyBorder="1"/>
    <xf numFmtId="0" fontId="1" fillId="3" borderId="0" xfId="0" applyFont="1" applyFill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0" fontId="0" fillId="3" borderId="0" xfId="0" applyFill="1" applyBorder="1"/>
    <xf numFmtId="0" fontId="1" fillId="3" borderId="0" xfId="0" applyFont="1" applyFill="1" applyBorder="1"/>
    <xf numFmtId="164" fontId="0" fillId="3" borderId="0" xfId="0" applyNumberFormat="1" applyFill="1" applyBorder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textRotation="90"/>
    </xf>
    <xf numFmtId="0" fontId="3" fillId="0" borderId="0" xfId="0" applyFont="1" applyBorder="1"/>
    <xf numFmtId="0" fontId="4" fillId="4" borderId="6" xfId="0" applyFont="1" applyFill="1" applyBorder="1" applyAlignment="1">
      <alignment horizontal="center" textRotation="90"/>
    </xf>
    <xf numFmtId="0" fontId="3" fillId="0" borderId="1" xfId="0" applyFont="1" applyBorder="1"/>
    <xf numFmtId="0" fontId="4" fillId="4" borderId="1" xfId="0" applyFont="1" applyFill="1" applyBorder="1" applyAlignment="1">
      <alignment textRotation="90"/>
    </xf>
    <xf numFmtId="164" fontId="3" fillId="0" borderId="1" xfId="0" applyNumberFormat="1" applyFont="1" applyBorder="1"/>
    <xf numFmtId="164" fontId="3" fillId="0" borderId="0" xfId="0" applyNumberFormat="1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7" fillId="5" borderId="1" xfId="0" applyFont="1" applyFill="1" applyBorder="1" applyAlignment="1">
      <alignment horizontal="left" wrapText="1" indent="1"/>
    </xf>
    <xf numFmtId="0" fontId="7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5" fillId="6" borderId="0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 indent="1"/>
    </xf>
    <xf numFmtId="164" fontId="5" fillId="7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left" indent="1"/>
    </xf>
    <xf numFmtId="2" fontId="5" fillId="7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166" fontId="5" fillId="0" borderId="1" xfId="0" applyNumberFormat="1" applyFont="1" applyBorder="1" applyAlignment="1">
      <alignment horizontal="left" indent="1"/>
    </xf>
    <xf numFmtId="0" fontId="5" fillId="8" borderId="1" xfId="0" applyFont="1" applyFill="1" applyBorder="1" applyAlignment="1">
      <alignment horizontal="left" indent="1"/>
    </xf>
    <xf numFmtId="164" fontId="5" fillId="8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left" indent="1"/>
    </xf>
    <xf numFmtId="2" fontId="5" fillId="8" borderId="1" xfId="0" applyNumberFormat="1" applyFont="1" applyFill="1" applyBorder="1" applyAlignment="1">
      <alignment horizontal="center"/>
    </xf>
    <xf numFmtId="2" fontId="5" fillId="8" borderId="0" xfId="0" applyNumberFormat="1" applyFont="1" applyFill="1" applyBorder="1" applyAlignment="1">
      <alignment horizontal="left" indent="1"/>
    </xf>
    <xf numFmtId="0" fontId="5" fillId="3" borderId="1" xfId="0" applyFont="1" applyFill="1" applyBorder="1" applyAlignment="1"/>
    <xf numFmtId="0" fontId="5" fillId="0" borderId="0" xfId="0" applyFont="1" applyBorder="1" applyAlignment="1"/>
    <xf numFmtId="0" fontId="6" fillId="3" borderId="1" xfId="0" applyFont="1" applyFill="1" applyBorder="1" applyAlignment="1"/>
    <xf numFmtId="0" fontId="5" fillId="3" borderId="0" xfId="0" applyFont="1" applyFill="1" applyBorder="1" applyAlignment="1"/>
    <xf numFmtId="2" fontId="5" fillId="8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0" borderId="0" xfId="0" applyNumberFormat="1" applyFont="1" applyBorder="1" applyAlignment="1">
      <alignment horizontal="right"/>
    </xf>
    <xf numFmtId="164" fontId="5" fillId="3" borderId="1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8" fillId="3" borderId="0" xfId="0" applyFont="1" applyFill="1" applyBorder="1" applyAlignment="1">
      <alignment textRotation="90" wrapText="1"/>
    </xf>
    <xf numFmtId="0" fontId="9" fillId="3" borderId="0" xfId="0" applyFont="1" applyFill="1" applyBorder="1" applyAlignment="1">
      <alignment textRotation="90" wrapText="1"/>
    </xf>
    <xf numFmtId="0" fontId="9" fillId="3" borderId="0" xfId="0" applyFont="1" applyFill="1" applyBorder="1" applyAlignment="1">
      <alignment textRotation="90"/>
    </xf>
    <xf numFmtId="0" fontId="9" fillId="3" borderId="0" xfId="0" applyFont="1" applyFill="1" applyBorder="1"/>
    <xf numFmtId="0" fontId="9" fillId="2" borderId="1" xfId="0" applyFont="1" applyFill="1" applyBorder="1"/>
    <xf numFmtId="0" fontId="10" fillId="7" borderId="1" xfId="0" applyFont="1" applyFill="1" applyBorder="1" applyAlignment="1">
      <alignment textRotation="90" wrapText="1"/>
    </xf>
    <xf numFmtId="0" fontId="9" fillId="2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textRotation="90" wrapText="1"/>
    </xf>
    <xf numFmtId="164" fontId="9" fillId="2" borderId="1" xfId="0" applyNumberFormat="1" applyFont="1" applyFill="1" applyBorder="1"/>
    <xf numFmtId="0" fontId="9" fillId="2" borderId="0" xfId="0" applyFont="1" applyFill="1" applyBorder="1"/>
    <xf numFmtId="2" fontId="9" fillId="2" borderId="1" xfId="0" applyNumberFormat="1" applyFont="1" applyFill="1" applyBorder="1"/>
    <xf numFmtId="0" fontId="9" fillId="2" borderId="12" xfId="0" applyFont="1" applyFill="1" applyBorder="1"/>
    <xf numFmtId="2" fontId="9" fillId="2" borderId="12" xfId="0" applyNumberFormat="1" applyFont="1" applyFill="1" applyBorder="1" applyAlignment="1">
      <alignment horizontal="right" wrapText="1"/>
    </xf>
    <xf numFmtId="2" fontId="9" fillId="2" borderId="0" xfId="0" applyNumberFormat="1" applyFont="1" applyFill="1" applyBorder="1" applyAlignment="1">
      <alignment horizontal="right" wrapText="1"/>
    </xf>
    <xf numFmtId="2" fontId="9" fillId="2" borderId="1" xfId="0" applyNumberFormat="1" applyFont="1" applyFill="1" applyBorder="1" applyAlignment="1">
      <alignment horizontal="right" wrapText="1"/>
    </xf>
    <xf numFmtId="0" fontId="8" fillId="2" borderId="0" xfId="0" applyFont="1" applyFill="1" applyBorder="1" applyAlignment="1">
      <alignment textRotation="90" wrapText="1"/>
    </xf>
    <xf numFmtId="0" fontId="9" fillId="2" borderId="0" xfId="0" applyFont="1" applyFill="1" applyBorder="1" applyAlignment="1">
      <alignment textRotation="90"/>
    </xf>
    <xf numFmtId="2" fontId="9" fillId="3" borderId="0" xfId="0" applyNumberFormat="1" applyFont="1" applyFill="1" applyBorder="1"/>
    <xf numFmtId="165" fontId="9" fillId="3" borderId="0" xfId="0" applyNumberFormat="1" applyFont="1" applyFill="1" applyBorder="1"/>
    <xf numFmtId="0" fontId="11" fillId="0" borderId="0" xfId="1" applyFont="1" applyAlignment="1" applyProtection="1">
      <alignment wrapText="1"/>
      <protection locked="0"/>
    </xf>
    <xf numFmtId="0" fontId="11" fillId="0" borderId="0" xfId="1" applyFont="1" applyProtection="1">
      <protection locked="0"/>
    </xf>
    <xf numFmtId="0" fontId="12" fillId="0" borderId="0" xfId="1" applyFont="1" applyProtection="1">
      <protection locked="0"/>
    </xf>
    <xf numFmtId="0" fontId="13" fillId="0" borderId="0" xfId="1" applyFont="1" applyProtection="1">
      <protection locked="0"/>
    </xf>
    <xf numFmtId="0" fontId="11" fillId="3" borderId="0" xfId="1" applyFont="1" applyFill="1" applyProtection="1"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left" indent="1"/>
      <protection locked="0"/>
    </xf>
    <xf numFmtId="1" fontId="11" fillId="3" borderId="0" xfId="1" applyNumberFormat="1" applyFont="1" applyFill="1" applyAlignment="1" applyProtection="1">
      <alignment horizontal="center"/>
      <protection locked="0"/>
    </xf>
    <xf numFmtId="2" fontId="11" fillId="3" borderId="0" xfId="1" applyNumberFormat="1" applyFont="1" applyFill="1" applyAlignment="1" applyProtection="1">
      <alignment horizontal="center"/>
      <protection locked="0"/>
    </xf>
    <xf numFmtId="1" fontId="11" fillId="3" borderId="0" xfId="1" applyNumberFormat="1" applyFont="1" applyFill="1" applyAlignment="1" applyProtection="1">
      <alignment horizontal="center"/>
    </xf>
    <xf numFmtId="0" fontId="12" fillId="0" borderId="1" xfId="1" applyFont="1" applyBorder="1" applyAlignment="1" applyProtection="1">
      <alignment wrapText="1"/>
      <protection locked="0"/>
    </xf>
    <xf numFmtId="0" fontId="13" fillId="0" borderId="1" xfId="1" applyFont="1" applyBorder="1" applyAlignment="1" applyProtection="1">
      <alignment wrapText="1"/>
      <protection locked="0"/>
    </xf>
    <xf numFmtId="0" fontId="14" fillId="3" borderId="1" xfId="1" applyFont="1" applyFill="1" applyBorder="1" applyAlignment="1" applyProtection="1">
      <alignment wrapText="1"/>
      <protection locked="0"/>
    </xf>
    <xf numFmtId="0" fontId="11" fillId="3" borderId="1" xfId="1" applyFont="1" applyFill="1" applyBorder="1" applyAlignment="1" applyProtection="1">
      <alignment horizontal="center" wrapText="1"/>
      <protection locked="0"/>
    </xf>
    <xf numFmtId="0" fontId="11" fillId="3" borderId="1" xfId="1" applyFont="1" applyFill="1" applyBorder="1" applyAlignment="1" applyProtection="1">
      <alignment horizontal="left" wrapText="1"/>
      <protection locked="0"/>
    </xf>
    <xf numFmtId="0" fontId="15" fillId="3" borderId="1" xfId="1" applyFont="1" applyFill="1" applyBorder="1" applyAlignment="1" applyProtection="1">
      <alignment horizontal="left" wrapText="1"/>
      <protection locked="0"/>
    </xf>
    <xf numFmtId="0" fontId="13" fillId="0" borderId="1" xfId="1" applyFont="1" applyBorder="1" applyProtection="1"/>
    <xf numFmtId="0" fontId="16" fillId="3" borderId="1" xfId="1" applyFont="1" applyFill="1" applyBorder="1" applyProtection="1">
      <protection locked="0"/>
    </xf>
    <xf numFmtId="0" fontId="11" fillId="3" borderId="1" xfId="1" applyFont="1" applyFill="1" applyBorder="1" applyAlignment="1" applyProtection="1">
      <alignment horizontal="center"/>
      <protection locked="0"/>
    </xf>
    <xf numFmtId="0" fontId="11" fillId="3" borderId="1" xfId="1" applyFont="1" applyFill="1" applyBorder="1" applyAlignment="1" applyProtection="1">
      <alignment horizontal="left" indent="1"/>
      <protection locked="0"/>
    </xf>
    <xf numFmtId="0" fontId="11" fillId="3" borderId="1" xfId="1" applyFont="1" applyFill="1" applyBorder="1" applyProtection="1">
      <protection locked="0"/>
    </xf>
    <xf numFmtId="0" fontId="16" fillId="3" borderId="1" xfId="1" applyFont="1" applyFill="1" applyBorder="1" applyAlignment="1" applyProtection="1">
      <alignment horizontal="left"/>
      <protection locked="0"/>
    </xf>
    <xf numFmtId="0" fontId="11" fillId="3" borderId="1" xfId="1" applyFont="1" applyFill="1" applyBorder="1" applyAlignment="1" applyProtection="1">
      <alignment horizontal="center"/>
    </xf>
    <xf numFmtId="0" fontId="15" fillId="3" borderId="1" xfId="1" applyFont="1" applyFill="1" applyBorder="1" applyProtection="1">
      <protection locked="0"/>
    </xf>
    <xf numFmtId="0" fontId="15" fillId="3" borderId="1" xfId="1" applyFont="1" applyFill="1" applyBorder="1" applyAlignment="1" applyProtection="1">
      <alignment horizontal="left" indent="1"/>
      <protection locked="0"/>
    </xf>
    <xf numFmtId="0" fontId="15" fillId="0" borderId="0" xfId="1" applyFont="1" applyProtection="1">
      <protection locked="0"/>
    </xf>
    <xf numFmtId="0" fontId="15" fillId="3" borderId="1" xfId="1" applyFont="1" applyFill="1" applyBorder="1" applyAlignment="1" applyProtection="1">
      <alignment horizontal="center"/>
    </xf>
    <xf numFmtId="0" fontId="17" fillId="3" borderId="1" xfId="1" applyFont="1" applyFill="1" applyBorder="1" applyProtection="1">
      <protection locked="0"/>
    </xf>
    <xf numFmtId="0" fontId="14" fillId="9" borderId="1" xfId="1" applyFont="1" applyFill="1" applyBorder="1" applyAlignment="1" applyProtection="1">
      <alignment wrapText="1"/>
      <protection locked="0"/>
    </xf>
    <xf numFmtId="2" fontId="14" fillId="3" borderId="1" xfId="1" applyNumberFormat="1" applyFont="1" applyFill="1" applyBorder="1" applyAlignment="1" applyProtection="1">
      <alignment wrapText="1"/>
      <protection locked="0"/>
    </xf>
    <xf numFmtId="0" fontId="14" fillId="7" borderId="1" xfId="1" applyFont="1" applyFill="1" applyBorder="1" applyAlignment="1" applyProtection="1">
      <alignment wrapText="1"/>
      <protection locked="0"/>
    </xf>
    <xf numFmtId="1" fontId="11" fillId="9" borderId="1" xfId="1" applyNumberFormat="1" applyFont="1" applyFill="1" applyBorder="1" applyAlignment="1" applyProtection="1">
      <alignment horizontal="center"/>
      <protection locked="0"/>
    </xf>
    <xf numFmtId="0" fontId="11" fillId="9" borderId="1" xfId="1" applyFont="1" applyFill="1" applyBorder="1" applyAlignment="1" applyProtection="1">
      <alignment horizontal="center"/>
      <protection locked="0"/>
    </xf>
    <xf numFmtId="2" fontId="11" fillId="3" borderId="1" xfId="1" applyNumberFormat="1" applyFont="1" applyFill="1" applyBorder="1" applyAlignment="1" applyProtection="1">
      <alignment horizontal="center"/>
      <protection locked="0"/>
    </xf>
    <xf numFmtId="0" fontId="11" fillId="7" borderId="1" xfId="1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 wrapText="1"/>
      <protection locked="0"/>
    </xf>
    <xf numFmtId="1" fontId="18" fillId="9" borderId="1" xfId="0" applyNumberFormat="1" applyFont="1" applyFill="1" applyBorder="1" applyAlignment="1" applyProtection="1">
      <alignment horizontal="center" wrapText="1"/>
      <protection locked="0"/>
    </xf>
    <xf numFmtId="0" fontId="18" fillId="9" borderId="1" xfId="0" applyFont="1" applyFill="1" applyBorder="1" applyAlignment="1" applyProtection="1">
      <alignment horizontal="center" wrapText="1"/>
      <protection locked="0"/>
    </xf>
    <xf numFmtId="2" fontId="18" fillId="3" borderId="1" xfId="0" applyNumberFormat="1" applyFont="1" applyFill="1" applyBorder="1" applyAlignment="1" applyProtection="1">
      <alignment horizontal="center" wrapText="1"/>
      <protection locked="0"/>
    </xf>
    <xf numFmtId="0" fontId="18" fillId="7" borderId="1" xfId="0" applyFont="1" applyFill="1" applyBorder="1" applyAlignment="1" applyProtection="1">
      <alignment horizontal="center" wrapText="1"/>
      <protection locked="0"/>
    </xf>
    <xf numFmtId="0" fontId="15" fillId="2" borderId="1" xfId="1" applyFont="1" applyFill="1" applyBorder="1" applyAlignment="1" applyProtection="1">
      <alignment horizontal="center"/>
    </xf>
    <xf numFmtId="1" fontId="11" fillId="9" borderId="1" xfId="0" applyNumberFormat="1" applyFont="1" applyFill="1" applyBorder="1" applyAlignment="1" applyProtection="1">
      <alignment horizontal="center"/>
      <protection locked="0"/>
    </xf>
    <xf numFmtId="2" fontId="18" fillId="2" borderId="1" xfId="0" applyNumberFormat="1" applyFont="1" applyFill="1" applyBorder="1" applyAlignment="1" applyProtection="1">
      <alignment horizontal="center" wrapText="1"/>
    </xf>
    <xf numFmtId="164" fontId="11" fillId="3" borderId="1" xfId="0" applyNumberFormat="1" applyFont="1" applyFill="1" applyBorder="1" applyAlignment="1" applyProtection="1">
      <alignment horizontal="center"/>
      <protection locked="0"/>
    </xf>
    <xf numFmtId="2" fontId="11" fillId="7" borderId="1" xfId="0" applyNumberFormat="1" applyFont="1" applyFill="1" applyBorder="1" applyAlignment="1" applyProtection="1">
      <alignment horizontal="center"/>
    </xf>
    <xf numFmtId="2" fontId="15" fillId="3" borderId="1" xfId="0" applyNumberFormat="1" applyFont="1" applyFill="1" applyBorder="1" applyAlignment="1" applyProtection="1">
      <alignment horizontal="center"/>
      <protection locked="0"/>
    </xf>
    <xf numFmtId="0" fontId="15" fillId="3" borderId="1" xfId="1" applyFont="1" applyFill="1" applyBorder="1" applyAlignment="1" applyProtection="1">
      <alignment horizontal="center"/>
      <protection locked="0"/>
    </xf>
    <xf numFmtId="0" fontId="15" fillId="8" borderId="1" xfId="1" applyFont="1" applyFill="1" applyBorder="1" applyAlignment="1" applyProtection="1">
      <alignment horizontal="center"/>
    </xf>
    <xf numFmtId="2" fontId="11" fillId="3" borderId="1" xfId="0" applyNumberFormat="1" applyFont="1" applyFill="1" applyBorder="1" applyAlignment="1" applyProtection="1">
      <alignment horizontal="center"/>
      <protection locked="0"/>
    </xf>
    <xf numFmtId="2" fontId="18" fillId="3" borderId="1" xfId="0" applyNumberFormat="1" applyFont="1" applyFill="1" applyBorder="1" applyAlignment="1" applyProtection="1">
      <alignment horizontal="center" wrapText="1"/>
    </xf>
    <xf numFmtId="2" fontId="11" fillId="7" borderId="1" xfId="0" applyNumberFormat="1" applyFont="1" applyFill="1" applyBorder="1" applyAlignment="1" applyProtection="1">
      <alignment horizontal="center"/>
      <protection locked="0"/>
    </xf>
    <xf numFmtId="0" fontId="11" fillId="8" borderId="1" xfId="1" applyFont="1" applyFill="1" applyBorder="1" applyAlignment="1" applyProtection="1">
      <alignment horizontal="center"/>
    </xf>
    <xf numFmtId="0" fontId="15" fillId="2" borderId="1" xfId="1" applyFont="1" applyFill="1" applyBorder="1" applyAlignment="1" applyProtection="1">
      <alignment horizontal="center"/>
      <protection locked="0"/>
    </xf>
    <xf numFmtId="0" fontId="15" fillId="7" borderId="1" xfId="1" applyFont="1" applyFill="1" applyBorder="1" applyAlignment="1" applyProtection="1">
      <alignment horizontal="center"/>
      <protection locked="0"/>
    </xf>
    <xf numFmtId="0" fontId="11" fillId="8" borderId="1" xfId="1" applyFont="1" applyFill="1" applyBorder="1" applyAlignment="1" applyProtection="1">
      <alignment horizontal="center"/>
      <protection locked="0"/>
    </xf>
    <xf numFmtId="0" fontId="15" fillId="9" borderId="1" xfId="1" applyFont="1" applyFill="1" applyBorder="1" applyAlignment="1" applyProtection="1">
      <alignment horizontal="center"/>
      <protection locked="0"/>
    </xf>
    <xf numFmtId="2" fontId="11" fillId="3" borderId="1" xfId="1" applyNumberFormat="1" applyFont="1" applyFill="1" applyBorder="1" applyAlignment="1" applyProtection="1">
      <alignment horizontal="center"/>
    </xf>
    <xf numFmtId="0" fontId="14" fillId="10" borderId="1" xfId="1" applyFont="1" applyFill="1" applyBorder="1" applyAlignment="1" applyProtection="1">
      <alignment wrapText="1"/>
      <protection locked="0"/>
    </xf>
    <xf numFmtId="1" fontId="14" fillId="3" borderId="1" xfId="1" applyNumberFormat="1" applyFont="1" applyFill="1" applyBorder="1" applyAlignment="1" applyProtection="1">
      <alignment wrapText="1"/>
    </xf>
    <xf numFmtId="0" fontId="19" fillId="10" borderId="1" xfId="1" applyFont="1" applyFill="1" applyBorder="1" applyAlignment="1" applyProtection="1">
      <alignment wrapText="1"/>
      <protection locked="0"/>
    </xf>
    <xf numFmtId="1" fontId="19" fillId="3" borderId="1" xfId="1" applyNumberFormat="1" applyFont="1" applyFill="1" applyBorder="1" applyAlignment="1" applyProtection="1">
      <alignment wrapText="1"/>
      <protection locked="0"/>
    </xf>
    <xf numFmtId="0" fontId="11" fillId="10" borderId="1" xfId="1" applyFont="1" applyFill="1" applyBorder="1" applyAlignment="1" applyProtection="1">
      <alignment horizontal="center"/>
      <protection locked="0"/>
    </xf>
    <xf numFmtId="1" fontId="11" fillId="3" borderId="1" xfId="1" applyNumberFormat="1" applyFont="1" applyFill="1" applyBorder="1" applyAlignment="1" applyProtection="1">
      <alignment horizontal="center"/>
    </xf>
    <xf numFmtId="1" fontId="11" fillId="3" borderId="1" xfId="1" applyNumberFormat="1" applyFont="1" applyFill="1" applyBorder="1" applyAlignment="1" applyProtection="1">
      <alignment horizontal="center"/>
      <protection locked="0"/>
    </xf>
    <xf numFmtId="2" fontId="11" fillId="10" borderId="1" xfId="0" applyNumberFormat="1" applyFont="1" applyFill="1" applyBorder="1" applyAlignment="1" applyProtection="1">
      <alignment horizontal="center"/>
    </xf>
    <xf numFmtId="1" fontId="18" fillId="3" borderId="1" xfId="0" applyNumberFormat="1" applyFont="1" applyFill="1" applyBorder="1" applyAlignment="1" applyProtection="1">
      <alignment horizontal="center" wrapText="1"/>
    </xf>
    <xf numFmtId="1" fontId="15" fillId="3" borderId="1" xfId="1" applyNumberFormat="1" applyFont="1" applyFill="1" applyBorder="1" applyAlignment="1" applyProtection="1">
      <alignment horizontal="center"/>
      <protection locked="0"/>
    </xf>
    <xf numFmtId="1" fontId="11" fillId="3" borderId="1" xfId="0" applyNumberFormat="1" applyFont="1" applyFill="1" applyBorder="1" applyAlignment="1" applyProtection="1">
      <alignment horizontal="center"/>
    </xf>
    <xf numFmtId="1" fontId="15" fillId="3" borderId="1" xfId="0" applyNumberFormat="1" applyFont="1" applyFill="1" applyBorder="1" applyAlignment="1" applyProtection="1">
      <alignment horizontal="center"/>
      <protection locked="0"/>
    </xf>
    <xf numFmtId="1" fontId="15" fillId="3" borderId="1" xfId="0" applyNumberFormat="1" applyFont="1" applyFill="1" applyBorder="1" applyAlignment="1" applyProtection="1">
      <alignment horizontal="center"/>
    </xf>
    <xf numFmtId="1" fontId="11" fillId="3" borderId="1" xfId="0" applyNumberFormat="1" applyFont="1" applyFill="1" applyBorder="1" applyAlignment="1" applyProtection="1">
      <alignment horizontal="center"/>
      <protection locked="0"/>
    </xf>
    <xf numFmtId="2" fontId="15" fillId="10" borderId="1" xfId="0" applyNumberFormat="1" applyFont="1" applyFill="1" applyBorder="1" applyAlignment="1" applyProtection="1">
      <alignment horizontal="center"/>
    </xf>
    <xf numFmtId="0" fontId="11" fillId="5" borderId="1" xfId="1" applyFont="1" applyFill="1" applyBorder="1" applyProtection="1">
      <protection locked="0"/>
    </xf>
    <xf numFmtId="0" fontId="11" fillId="11" borderId="1" xfId="1" applyFont="1" applyFill="1" applyBorder="1" applyProtection="1">
      <protection locked="0"/>
    </xf>
    <xf numFmtId="0" fontId="11" fillId="2" borderId="1" xfId="1" applyFont="1" applyFill="1" applyBorder="1" applyAlignment="1" applyProtection="1">
      <alignment horizontal="center"/>
      <protection locked="0"/>
    </xf>
    <xf numFmtId="2" fontId="11" fillId="2" borderId="1" xfId="1" applyNumberFormat="1" applyFont="1" applyFill="1" applyBorder="1" applyAlignment="1" applyProtection="1">
      <alignment horizontal="center"/>
      <protection locked="0"/>
    </xf>
    <xf numFmtId="0" fontId="11" fillId="7" borderId="1" xfId="1" applyFont="1" applyFill="1" applyBorder="1" applyAlignment="1" applyProtection="1">
      <alignment horizontal="center"/>
    </xf>
    <xf numFmtId="0" fontId="16" fillId="3" borderId="1" xfId="1" applyFont="1" applyFill="1" applyBorder="1" applyAlignment="1" applyProtection="1">
      <alignment horizontal="center"/>
      <protection locked="0"/>
    </xf>
    <xf numFmtId="0" fontId="11" fillId="9" borderId="1" xfId="1" applyFont="1" applyFill="1" applyBorder="1" applyAlignment="1" applyProtection="1">
      <alignment horizontal="center"/>
    </xf>
    <xf numFmtId="0" fontId="14" fillId="3" borderId="1" xfId="1" applyFont="1" applyFill="1" applyBorder="1" applyAlignment="1" applyProtection="1">
      <alignment horizontal="center"/>
      <protection locked="0"/>
    </xf>
    <xf numFmtId="1" fontId="19" fillId="3" borderId="1" xfId="1" applyNumberFormat="1" applyFont="1" applyFill="1" applyBorder="1" applyAlignment="1" applyProtection="1">
      <alignment horizontal="center"/>
      <protection locked="0"/>
    </xf>
    <xf numFmtId="0" fontId="11" fillId="2" borderId="1" xfId="1" applyFont="1" applyFill="1" applyBorder="1" applyAlignment="1" applyProtection="1">
      <alignment horizontal="center"/>
    </xf>
    <xf numFmtId="0" fontId="13" fillId="2" borderId="1" xfId="1" applyFont="1" applyFill="1" applyBorder="1" applyProtection="1"/>
    <xf numFmtId="0" fontId="16" fillId="2" borderId="1" xfId="1" applyFont="1" applyFill="1" applyBorder="1" applyProtection="1">
      <protection locked="0"/>
    </xf>
    <xf numFmtId="0" fontId="11" fillId="2" borderId="1" xfId="1" applyFont="1" applyFill="1" applyBorder="1" applyProtection="1">
      <protection locked="0"/>
    </xf>
    <xf numFmtId="0" fontId="20" fillId="0" borderId="0" xfId="1" applyFont="1" applyAlignment="1" applyProtection="1">
      <alignment wrapText="1"/>
      <protection locked="0"/>
    </xf>
    <xf numFmtId="0" fontId="20" fillId="0" borderId="0" xfId="1" applyFont="1" applyProtection="1">
      <protection locked="0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0" fillId="3" borderId="0" xfId="1" applyFont="1" applyFill="1" applyAlignment="1" applyProtection="1">
      <alignment horizontal="left"/>
      <protection locked="0"/>
    </xf>
    <xf numFmtId="0" fontId="22" fillId="3" borderId="0" xfId="1" applyFont="1" applyFill="1" applyAlignment="1" applyProtection="1">
      <alignment horizontal="center"/>
      <protection locked="0"/>
    </xf>
    <xf numFmtId="0" fontId="20" fillId="3" borderId="0" xfId="1" applyFont="1" applyFill="1" applyAlignment="1" applyProtection="1">
      <alignment horizontal="left" indent="1"/>
      <protection locked="0"/>
    </xf>
    <xf numFmtId="0" fontId="20" fillId="3" borderId="0" xfId="1" applyFont="1" applyFill="1" applyAlignment="1" applyProtection="1">
      <alignment horizontal="center"/>
      <protection locked="0"/>
    </xf>
    <xf numFmtId="1" fontId="20" fillId="3" borderId="0" xfId="1" applyNumberFormat="1" applyFont="1" applyFill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165" fontId="20" fillId="3" borderId="0" xfId="1" applyNumberFormat="1" applyFont="1" applyFill="1" applyAlignment="1" applyProtection="1">
      <alignment horizontal="center"/>
      <protection locked="0"/>
    </xf>
    <xf numFmtId="1" fontId="20" fillId="3" borderId="0" xfId="1" applyNumberFormat="1" applyFont="1" applyFill="1" applyAlignment="1" applyProtection="1">
      <alignment horizontal="center"/>
    </xf>
    <xf numFmtId="164" fontId="20" fillId="0" borderId="0" xfId="1" applyNumberFormat="1" applyFont="1" applyProtection="1">
      <protection locked="0"/>
    </xf>
    <xf numFmtId="0" fontId="23" fillId="0" borderId="0" xfId="0" applyFont="1"/>
    <xf numFmtId="0" fontId="21" fillId="0" borderId="1" xfId="1" applyFont="1" applyBorder="1" applyAlignment="1" applyProtection="1">
      <alignment wrapText="1"/>
      <protection locked="0"/>
    </xf>
    <xf numFmtId="0" fontId="22" fillId="0" borderId="1" xfId="1" applyFont="1" applyBorder="1" applyAlignment="1" applyProtection="1">
      <alignment wrapText="1"/>
      <protection locked="0"/>
    </xf>
    <xf numFmtId="0" fontId="22" fillId="3" borderId="1" xfId="1" applyFont="1" applyFill="1" applyBorder="1" applyAlignment="1" applyProtection="1">
      <alignment horizontal="left" wrapText="1"/>
      <protection locked="0"/>
    </xf>
    <xf numFmtId="0" fontId="22" fillId="3" borderId="1" xfId="1" applyFont="1" applyFill="1" applyBorder="1" applyAlignment="1" applyProtection="1">
      <alignment horizontal="center" wrapText="1"/>
      <protection locked="0"/>
    </xf>
    <xf numFmtId="0" fontId="20" fillId="3" borderId="1" xfId="1" applyFont="1" applyFill="1" applyBorder="1" applyAlignment="1" applyProtection="1">
      <alignment horizontal="left" wrapText="1"/>
      <protection locked="0"/>
    </xf>
    <xf numFmtId="0" fontId="22" fillId="0" borderId="1" xfId="1" applyFont="1" applyBorder="1" applyProtection="1"/>
    <xf numFmtId="0" fontId="22" fillId="3" borderId="1" xfId="1" applyFont="1" applyFill="1" applyBorder="1" applyProtection="1">
      <protection locked="0"/>
    </xf>
    <xf numFmtId="0" fontId="22" fillId="3" borderId="1" xfId="1" applyFont="1" applyFill="1" applyBorder="1" applyAlignment="1" applyProtection="1">
      <alignment horizontal="center"/>
      <protection locked="0"/>
    </xf>
    <xf numFmtId="0" fontId="20" fillId="3" borderId="1" xfId="1" applyFont="1" applyFill="1" applyBorder="1" applyAlignment="1" applyProtection="1">
      <alignment horizontal="left" indent="1"/>
      <protection locked="0"/>
    </xf>
    <xf numFmtId="0" fontId="20" fillId="3" borderId="1" xfId="1" applyFont="1" applyFill="1" applyBorder="1" applyAlignment="1" applyProtection="1">
      <alignment horizontal="left"/>
      <protection locked="0"/>
    </xf>
    <xf numFmtId="0" fontId="20" fillId="3" borderId="1" xfId="1" applyFont="1" applyFill="1" applyBorder="1" applyAlignment="1" applyProtection="1">
      <alignment horizontal="center"/>
      <protection locked="0"/>
    </xf>
    <xf numFmtId="0" fontId="22" fillId="3" borderId="1" xfId="1" applyFont="1" applyFill="1" applyBorder="1" applyAlignment="1" applyProtection="1">
      <alignment horizontal="left"/>
      <protection locked="0"/>
    </xf>
    <xf numFmtId="0" fontId="22" fillId="3" borderId="1" xfId="1" applyFont="1" applyFill="1" applyBorder="1" applyAlignment="1" applyProtection="1">
      <alignment horizontal="center"/>
    </xf>
    <xf numFmtId="0" fontId="20" fillId="3" borderId="1" xfId="1" applyFont="1" applyFill="1" applyBorder="1" applyAlignment="1" applyProtection="1">
      <alignment horizontal="center"/>
    </xf>
    <xf numFmtId="0" fontId="22" fillId="2" borderId="1" xfId="1" applyFont="1" applyFill="1" applyBorder="1" applyProtection="1">
      <protection locked="0"/>
    </xf>
    <xf numFmtId="0" fontId="24" fillId="3" borderId="1" xfId="1" applyFont="1" applyFill="1" applyBorder="1" applyAlignment="1" applyProtection="1">
      <alignment wrapText="1"/>
      <protection locked="0"/>
    </xf>
    <xf numFmtId="2" fontId="24" fillId="3" borderId="1" xfId="1" applyNumberFormat="1" applyFont="1" applyFill="1" applyBorder="1" applyAlignment="1" applyProtection="1">
      <alignment wrapText="1"/>
      <protection locked="0"/>
    </xf>
    <xf numFmtId="165" fontId="24" fillId="3" borderId="1" xfId="1" applyNumberFormat="1" applyFont="1" applyFill="1" applyBorder="1" applyAlignment="1" applyProtection="1">
      <alignment wrapText="1"/>
      <protection locked="0"/>
    </xf>
    <xf numFmtId="1" fontId="20" fillId="3" borderId="1" xfId="1" applyNumberFormat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  <protection locked="0"/>
    </xf>
    <xf numFmtId="165" fontId="20" fillId="3" borderId="1" xfId="1" applyNumberFormat="1" applyFont="1" applyFill="1" applyBorder="1" applyAlignment="1" applyProtection="1">
      <alignment horizontal="center"/>
      <protection locked="0"/>
    </xf>
    <xf numFmtId="0" fontId="25" fillId="11" borderId="1" xfId="0" applyFont="1" applyFill="1" applyBorder="1" applyAlignment="1" applyProtection="1">
      <alignment horizontal="center" wrapText="1"/>
      <protection locked="0"/>
    </xf>
    <xf numFmtId="0" fontId="25" fillId="3" borderId="1" xfId="0" applyFont="1" applyFill="1" applyBorder="1" applyAlignment="1" applyProtection="1">
      <alignment horizontal="center" wrapText="1"/>
      <protection locked="0"/>
    </xf>
    <xf numFmtId="1" fontId="25" fillId="2" borderId="1" xfId="0" applyNumberFormat="1" applyFont="1" applyFill="1" applyBorder="1" applyAlignment="1" applyProtection="1">
      <alignment horizontal="center" wrapText="1"/>
      <protection locked="0"/>
    </xf>
    <xf numFmtId="2" fontId="25" fillId="3" borderId="1" xfId="0" applyNumberFormat="1" applyFont="1" applyFill="1" applyBorder="1" applyAlignment="1" applyProtection="1">
      <alignment horizontal="center" wrapText="1"/>
      <protection locked="0"/>
    </xf>
    <xf numFmtId="165" fontId="25" fillId="3" borderId="1" xfId="0" applyNumberFormat="1" applyFont="1" applyFill="1" applyBorder="1" applyAlignment="1" applyProtection="1">
      <alignment horizontal="center" wrapText="1"/>
      <protection locked="0"/>
    </xf>
    <xf numFmtId="0" fontId="20" fillId="11" borderId="1" xfId="1" applyFont="1" applyFill="1" applyBorder="1" applyAlignment="1" applyProtection="1">
      <alignment horizontal="center"/>
      <protection locked="0"/>
    </xf>
    <xf numFmtId="0" fontId="20" fillId="2" borderId="1" xfId="1" applyFont="1" applyFill="1" applyBorder="1" applyAlignment="1" applyProtection="1">
      <alignment horizontal="center"/>
    </xf>
    <xf numFmtId="1" fontId="20" fillId="2" borderId="1" xfId="0" applyNumberFormat="1" applyFont="1" applyFill="1" applyBorder="1" applyAlignment="1" applyProtection="1">
      <alignment horizontal="center"/>
      <protection locked="0"/>
    </xf>
    <xf numFmtId="2" fontId="25" fillId="3" borderId="1" xfId="0" applyNumberFormat="1" applyFont="1" applyFill="1" applyBorder="1" applyAlignment="1" applyProtection="1">
      <alignment horizontal="center" wrapText="1"/>
    </xf>
    <xf numFmtId="164" fontId="20" fillId="3" borderId="1" xfId="0" applyNumberFormat="1" applyFont="1" applyFill="1" applyBorder="1" applyAlignment="1" applyProtection="1">
      <alignment horizontal="center"/>
      <protection locked="0"/>
    </xf>
    <xf numFmtId="165" fontId="20" fillId="3" borderId="1" xfId="0" applyNumberFormat="1" applyFont="1" applyFill="1" applyBorder="1" applyAlignment="1" applyProtection="1">
      <alignment horizontal="center"/>
    </xf>
    <xf numFmtId="2" fontId="20" fillId="3" borderId="1" xfId="0" applyNumberFormat="1" applyFont="1" applyFill="1" applyBorder="1" applyAlignment="1" applyProtection="1">
      <alignment horizontal="center"/>
      <protection locked="0"/>
    </xf>
    <xf numFmtId="1" fontId="20" fillId="2" borderId="1" xfId="1" applyNumberFormat="1" applyFont="1" applyFill="1" applyBorder="1" applyAlignment="1" applyProtection="1">
      <alignment horizontal="center"/>
      <protection locked="0"/>
    </xf>
    <xf numFmtId="165" fontId="20" fillId="3" borderId="1" xfId="0" applyNumberFormat="1" applyFont="1" applyFill="1" applyBorder="1" applyAlignment="1" applyProtection="1">
      <alignment horizontal="center"/>
      <protection locked="0"/>
    </xf>
    <xf numFmtId="0" fontId="20" fillId="11" borderId="1" xfId="1" applyFont="1" applyFill="1" applyBorder="1" applyAlignment="1" applyProtection="1">
      <alignment horizontal="center"/>
    </xf>
    <xf numFmtId="0" fontId="20" fillId="2" borderId="1" xfId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</xf>
    <xf numFmtId="1" fontId="24" fillId="3" borderId="1" xfId="1" applyNumberFormat="1" applyFont="1" applyFill="1" applyBorder="1" applyAlignment="1" applyProtection="1">
      <alignment wrapText="1"/>
    </xf>
    <xf numFmtId="1" fontId="24" fillId="3" borderId="1" xfId="1" applyNumberFormat="1" applyFont="1" applyFill="1" applyBorder="1" applyAlignment="1" applyProtection="1">
      <alignment wrapText="1"/>
      <protection locked="0"/>
    </xf>
    <xf numFmtId="164" fontId="20" fillId="0" borderId="0" xfId="1" applyNumberFormat="1" applyFont="1" applyAlignment="1" applyProtection="1">
      <alignment wrapText="1"/>
      <protection locked="0"/>
    </xf>
    <xf numFmtId="1" fontId="20" fillId="3" borderId="1" xfId="1" applyNumberFormat="1" applyFont="1" applyFill="1" applyBorder="1" applyAlignment="1" applyProtection="1">
      <alignment horizontal="center"/>
    </xf>
    <xf numFmtId="2" fontId="20" fillId="3" borderId="1" xfId="0" applyNumberFormat="1" applyFont="1" applyFill="1" applyBorder="1" applyAlignment="1" applyProtection="1">
      <alignment horizontal="center"/>
    </xf>
    <xf numFmtId="1" fontId="25" fillId="3" borderId="1" xfId="0" applyNumberFormat="1" applyFont="1" applyFill="1" applyBorder="1" applyAlignment="1" applyProtection="1">
      <alignment horizontal="center" wrapText="1"/>
    </xf>
    <xf numFmtId="1" fontId="20" fillId="3" borderId="1" xfId="0" applyNumberFormat="1" applyFont="1" applyFill="1" applyBorder="1" applyAlignment="1" applyProtection="1">
      <alignment horizontal="center"/>
    </xf>
    <xf numFmtId="1" fontId="20" fillId="3" borderId="1" xfId="0" applyNumberFormat="1" applyFont="1" applyFill="1" applyBorder="1" applyAlignment="1" applyProtection="1">
      <alignment horizontal="center"/>
      <protection locked="0"/>
    </xf>
    <xf numFmtId="0" fontId="20" fillId="5" borderId="1" xfId="1" applyFont="1" applyFill="1" applyBorder="1" applyAlignment="1" applyProtection="1">
      <alignment horizontal="left"/>
      <protection locked="0"/>
    </xf>
    <xf numFmtId="0" fontId="20" fillId="11" borderId="1" xfId="1" applyFont="1" applyFill="1" applyBorder="1" applyAlignment="1" applyProtection="1">
      <alignment horizontal="left"/>
      <protection locked="0"/>
    </xf>
    <xf numFmtId="165" fontId="20" fillId="3" borderId="1" xfId="1" applyNumberFormat="1" applyFont="1" applyFill="1" applyBorder="1" applyAlignment="1" applyProtection="1">
      <alignment horizontal="center"/>
    </xf>
    <xf numFmtId="0" fontId="22" fillId="2" borderId="1" xfId="1" applyFont="1" applyFill="1" applyBorder="1" applyAlignment="1" applyProtection="1">
      <alignment horizontal="left"/>
      <protection locked="0"/>
    </xf>
    <xf numFmtId="0" fontId="26" fillId="2" borderId="1" xfId="1" applyFont="1" applyFill="1" applyBorder="1" applyAlignment="1" applyProtection="1">
      <protection locked="0"/>
    </xf>
    <xf numFmtId="0" fontId="22" fillId="2" borderId="1" xfId="1" applyFont="1" applyFill="1" applyBorder="1" applyAlignment="1" applyProtection="1">
      <alignment horizontal="center"/>
    </xf>
    <xf numFmtId="0" fontId="24" fillId="3" borderId="1" xfId="1" applyFont="1" applyFill="1" applyBorder="1" applyAlignment="1" applyProtection="1">
      <alignment horizontal="left"/>
      <protection locked="0"/>
    </xf>
    <xf numFmtId="0" fontId="22" fillId="2" borderId="1" xfId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</xf>
    <xf numFmtId="0" fontId="5" fillId="2" borderId="1" xfId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left"/>
      <protection locked="0"/>
    </xf>
    <xf numFmtId="0" fontId="5" fillId="11" borderId="1" xfId="1" applyFont="1" applyFill="1" applyBorder="1" applyAlignment="1" applyProtection="1">
      <alignment horizontal="center"/>
      <protection locked="0"/>
    </xf>
    <xf numFmtId="16" fontId="0" fillId="0" borderId="0" xfId="0" applyNumberFormat="1"/>
    <xf numFmtId="15" fontId="0" fillId="0" borderId="0" xfId="0" applyNumberFormat="1"/>
    <xf numFmtId="18" fontId="0" fillId="0" borderId="0" xfId="0" applyNumberFormat="1"/>
    <xf numFmtId="0" fontId="9" fillId="2" borderId="11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vertical="center" textRotation="90"/>
    </xf>
    <xf numFmtId="164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3" borderId="7" xfId="0" applyNumberFormat="1" applyFill="1" applyBorder="1" applyAlignment="1">
      <alignment horizontal="center" wrapText="1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FFFF"/>
      <color rgb="FF000000"/>
      <color rgb="FF00FFFF"/>
      <color rgb="FFFFF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2" sqref="M2"/>
    </sheetView>
  </sheetViews>
  <sheetFormatPr defaultRowHeight="14.25"/>
  <cols>
    <col min="1" max="1" width="10.796875" bestFit="1" customWidth="1"/>
    <col min="3" max="3" width="2.3984375" bestFit="1" customWidth="1"/>
    <col min="4" max="4" width="2.86328125" bestFit="1" customWidth="1"/>
    <col min="5" max="5" width="13.59765625" bestFit="1" customWidth="1"/>
    <col min="6" max="6" width="3.59765625" bestFit="1" customWidth="1"/>
    <col min="7" max="7" width="5.3984375" bestFit="1" customWidth="1"/>
    <col min="8" max="8" width="10.59765625" bestFit="1" customWidth="1"/>
    <col min="9" max="9" width="9.86328125" bestFit="1" customWidth="1"/>
    <col min="10" max="10" width="8.73046875" bestFit="1" customWidth="1"/>
  </cols>
  <sheetData>
    <row r="1" spans="1:12">
      <c r="B1" t="s">
        <v>1278</v>
      </c>
      <c r="E1" t="s">
        <v>1277</v>
      </c>
      <c r="F1" t="s">
        <v>1131</v>
      </c>
      <c r="G1" t="s">
        <v>1276</v>
      </c>
      <c r="H1" t="s">
        <v>1279</v>
      </c>
      <c r="I1" t="s">
        <v>1234</v>
      </c>
      <c r="J1" t="s">
        <v>1274</v>
      </c>
      <c r="K1" t="s">
        <v>1269</v>
      </c>
      <c r="L1" t="s">
        <v>1270</v>
      </c>
    </row>
    <row r="2" spans="1:12">
      <c r="A2" t="s">
        <v>1290</v>
      </c>
      <c r="B2">
        <v>1001</v>
      </c>
      <c r="C2" t="s">
        <v>1286</v>
      </c>
      <c r="D2" t="s">
        <v>1275</v>
      </c>
      <c r="E2" t="str">
        <f>$A$2&amp;"-"&amp;D2</f>
        <v>4220-133-EE-A1</v>
      </c>
      <c r="F2">
        <v>2</v>
      </c>
      <c r="G2" t="s">
        <v>1236</v>
      </c>
      <c r="H2" t="s">
        <v>1282</v>
      </c>
      <c r="I2" t="s">
        <v>1235</v>
      </c>
    </row>
    <row r="3" spans="1:12">
      <c r="D3" t="s">
        <v>1227</v>
      </c>
      <c r="E3" t="str">
        <f>$A$2&amp;"-"&amp;D3</f>
        <v>4220-133-EE-A2</v>
      </c>
      <c r="F3">
        <v>2</v>
      </c>
      <c r="G3" t="s">
        <v>1237</v>
      </c>
      <c r="H3" t="s">
        <v>1282</v>
      </c>
      <c r="I3" t="s">
        <v>1235</v>
      </c>
    </row>
    <row r="4" spans="1:12">
      <c r="B4">
        <v>1003</v>
      </c>
      <c r="C4" t="s">
        <v>1229</v>
      </c>
      <c r="D4" t="s">
        <v>1229</v>
      </c>
      <c r="E4" t="str">
        <f>$A$2&amp;"-"&amp;D4</f>
        <v>4220-133-EE-B</v>
      </c>
      <c r="F4">
        <v>2</v>
      </c>
      <c r="G4" t="s">
        <v>1236</v>
      </c>
      <c r="H4" s="281" t="s">
        <v>1281</v>
      </c>
      <c r="I4" t="s">
        <v>1235</v>
      </c>
    </row>
    <row r="5" spans="1:12">
      <c r="B5">
        <v>1004</v>
      </c>
      <c r="C5" t="s">
        <v>1280</v>
      </c>
      <c r="D5" t="s">
        <v>1280</v>
      </c>
      <c r="E5" t="str">
        <f>$A$2&amp;"-"&amp;D5</f>
        <v>4220-133-EE-C</v>
      </c>
      <c r="F5">
        <v>1</v>
      </c>
      <c r="H5" s="281" t="s">
        <v>1281</v>
      </c>
    </row>
    <row r="6" spans="1:12">
      <c r="B6">
        <v>1006</v>
      </c>
      <c r="C6" t="s">
        <v>1228</v>
      </c>
      <c r="D6" t="s">
        <v>1228</v>
      </c>
      <c r="E6" t="str">
        <f>$A$2&amp;"-"&amp;D6</f>
        <v>4220-133-EE-D</v>
      </c>
      <c r="F6">
        <v>2</v>
      </c>
      <c r="G6" t="s">
        <v>1236</v>
      </c>
      <c r="H6" t="s">
        <v>1282</v>
      </c>
      <c r="I6" t="s">
        <v>1238</v>
      </c>
      <c r="J6" s="257">
        <v>43135</v>
      </c>
      <c r="K6" s="258">
        <v>0.83333333333333337</v>
      </c>
      <c r="L6" t="s">
        <v>1272</v>
      </c>
    </row>
    <row r="7" spans="1:12">
      <c r="B7">
        <v>1007</v>
      </c>
      <c r="C7" t="s">
        <v>1283</v>
      </c>
      <c r="D7" t="s">
        <v>1283</v>
      </c>
      <c r="E7" t="str">
        <f>$A$2&amp;"-"&amp;D7</f>
        <v>4220-133-EE-E</v>
      </c>
      <c r="F7">
        <v>2</v>
      </c>
      <c r="G7" t="s">
        <v>1236</v>
      </c>
      <c r="H7" s="281" t="s">
        <v>1281</v>
      </c>
      <c r="J7" s="257"/>
      <c r="K7" s="258"/>
    </row>
    <row r="8" spans="1:12">
      <c r="B8">
        <v>1008</v>
      </c>
      <c r="C8" t="s">
        <v>63</v>
      </c>
      <c r="D8" t="s">
        <v>63</v>
      </c>
      <c r="E8" t="str">
        <f>$A$2&amp;"-"&amp;D8</f>
        <v>4220-133-EE-F</v>
      </c>
      <c r="F8">
        <v>1</v>
      </c>
      <c r="H8" t="s">
        <v>1282</v>
      </c>
      <c r="I8" t="s">
        <v>1238</v>
      </c>
      <c r="J8" s="257">
        <v>43136</v>
      </c>
      <c r="K8" s="258">
        <v>0.83333333333333337</v>
      </c>
      <c r="L8" t="s">
        <v>1271</v>
      </c>
    </row>
    <row r="9" spans="1:12">
      <c r="B9">
        <v>1009</v>
      </c>
      <c r="C9" t="s">
        <v>61</v>
      </c>
      <c r="D9" t="s">
        <v>61</v>
      </c>
      <c r="E9" t="str">
        <f>$A$2&amp;"-"&amp;D9</f>
        <v>4220-133-EE-G</v>
      </c>
      <c r="F9">
        <v>1</v>
      </c>
      <c r="H9" t="s">
        <v>1282</v>
      </c>
      <c r="I9" s="256" t="s">
        <v>1273</v>
      </c>
      <c r="J9" s="257">
        <v>43138</v>
      </c>
      <c r="K9" s="258">
        <v>0.70833333333333337</v>
      </c>
      <c r="L9" t="s">
        <v>1271</v>
      </c>
    </row>
    <row r="10" spans="1:12">
      <c r="B10">
        <v>1010</v>
      </c>
      <c r="C10" t="s">
        <v>1233</v>
      </c>
      <c r="D10" t="s">
        <v>1233</v>
      </c>
      <c r="E10" t="str">
        <f>$A$2&amp;"-"&amp;D10</f>
        <v>4220-133-EE-H</v>
      </c>
      <c r="F10">
        <v>1</v>
      </c>
      <c r="H10" t="s">
        <v>1282</v>
      </c>
      <c r="I10" s="256" t="s">
        <v>1273</v>
      </c>
      <c r="J10" s="257">
        <v>43137</v>
      </c>
      <c r="K10" s="258">
        <v>0.70833333333333337</v>
      </c>
      <c r="L10" t="s">
        <v>1272</v>
      </c>
    </row>
    <row r="11" spans="1:12">
      <c r="B11">
        <v>1011</v>
      </c>
      <c r="C11" t="s">
        <v>1284</v>
      </c>
      <c r="D11" t="s">
        <v>1288</v>
      </c>
      <c r="E11" t="str">
        <f>$A$2&amp;"-"&amp;D11</f>
        <v>4220-133-EE-I1</v>
      </c>
      <c r="F11">
        <v>2</v>
      </c>
      <c r="G11" t="s">
        <v>1236</v>
      </c>
      <c r="H11" s="281" t="s">
        <v>1281</v>
      </c>
      <c r="I11" s="256"/>
      <c r="J11" s="257"/>
      <c r="K11" s="258"/>
    </row>
    <row r="12" spans="1:12">
      <c r="D12" t="s">
        <v>1289</v>
      </c>
      <c r="E12" t="str">
        <f>$A$2&amp;"-"&amp;D12</f>
        <v>4220-133-EE-I2</v>
      </c>
      <c r="F12">
        <v>2</v>
      </c>
      <c r="G12" t="s">
        <v>1237</v>
      </c>
      <c r="H12" s="281" t="s">
        <v>1281</v>
      </c>
      <c r="I12" s="256"/>
      <c r="J12" s="257"/>
      <c r="K12" s="258"/>
    </row>
    <row r="13" spans="1:12">
      <c r="B13">
        <v>1012</v>
      </c>
      <c r="C13" t="s">
        <v>1287</v>
      </c>
      <c r="D13" t="s">
        <v>1230</v>
      </c>
      <c r="E13" t="str">
        <f>$A$2&amp;"-"&amp;D13</f>
        <v>4220-133-EE-J1</v>
      </c>
      <c r="F13">
        <v>2</v>
      </c>
      <c r="G13" t="s">
        <v>1236</v>
      </c>
      <c r="H13" t="s">
        <v>1282</v>
      </c>
      <c r="I13" s="256" t="s">
        <v>1273</v>
      </c>
      <c r="J13" s="257">
        <v>43137</v>
      </c>
      <c r="K13" s="258">
        <v>0.70833333333333337</v>
      </c>
      <c r="L13" t="s">
        <v>1272</v>
      </c>
    </row>
    <row r="14" spans="1:12">
      <c r="D14" t="s">
        <v>1231</v>
      </c>
      <c r="E14" t="str">
        <f>$A$2&amp;"-"&amp;D14</f>
        <v>4220-133-EE-J2</v>
      </c>
      <c r="F14">
        <v>2</v>
      </c>
      <c r="G14" t="s">
        <v>1237</v>
      </c>
      <c r="H14" t="s">
        <v>1282</v>
      </c>
      <c r="I14" s="256" t="s">
        <v>1273</v>
      </c>
      <c r="J14" s="257">
        <v>43138</v>
      </c>
      <c r="K14" s="258">
        <v>0.70833333333333337</v>
      </c>
      <c r="L14" t="s">
        <v>1272</v>
      </c>
    </row>
    <row r="15" spans="1:12">
      <c r="B15">
        <v>1013</v>
      </c>
      <c r="C15" t="s">
        <v>1285</v>
      </c>
      <c r="D15" t="s">
        <v>1285</v>
      </c>
      <c r="E15" t="str">
        <f>$A$2&amp;"-"&amp;D15</f>
        <v>4220-133-EE-K</v>
      </c>
      <c r="F15">
        <v>2</v>
      </c>
      <c r="G15" t="s">
        <v>1236</v>
      </c>
      <c r="H15" s="281" t="s">
        <v>1281</v>
      </c>
      <c r="I15" s="256"/>
      <c r="J15" s="257"/>
      <c r="K15" s="258"/>
    </row>
    <row r="16" spans="1:12">
      <c r="B16">
        <v>1014</v>
      </c>
      <c r="C16" t="s">
        <v>238</v>
      </c>
      <c r="D16" t="s">
        <v>238</v>
      </c>
      <c r="E16" t="str">
        <f>$A$2&amp;"-"&amp;D16</f>
        <v>4220-133-EE-L</v>
      </c>
      <c r="F16">
        <v>1</v>
      </c>
      <c r="H16" t="s">
        <v>1282</v>
      </c>
      <c r="I16" s="256" t="s">
        <v>1273</v>
      </c>
      <c r="J16" s="257">
        <v>43138</v>
      </c>
      <c r="K16" s="258">
        <v>0.70833333333333337</v>
      </c>
      <c r="L16" t="s">
        <v>1272</v>
      </c>
    </row>
    <row r="17" spans="2:12">
      <c r="B17">
        <v>1015</v>
      </c>
      <c r="C17" t="s">
        <v>876</v>
      </c>
      <c r="D17" t="s">
        <v>876</v>
      </c>
      <c r="E17" t="str">
        <f>$A$2&amp;"-"&amp;D17</f>
        <v>4220-133-EE-M</v>
      </c>
      <c r="F17">
        <v>1</v>
      </c>
      <c r="H17" s="281" t="s">
        <v>1281</v>
      </c>
      <c r="I17" s="256" t="s">
        <v>1273</v>
      </c>
      <c r="J17" s="257">
        <v>43139</v>
      </c>
      <c r="K17" s="258">
        <v>0.70833333333333337</v>
      </c>
      <c r="L17" t="s">
        <v>1272</v>
      </c>
    </row>
    <row r="18" spans="2:12">
      <c r="B18">
        <v>1011</v>
      </c>
      <c r="C18" t="s">
        <v>1232</v>
      </c>
      <c r="D18" t="s">
        <v>1232</v>
      </c>
      <c r="E18" t="str">
        <f>$A$2&amp;"-"&amp;D18</f>
        <v>4220-133-EE-N</v>
      </c>
      <c r="F18">
        <v>1</v>
      </c>
      <c r="H18" t="s">
        <v>1282</v>
      </c>
      <c r="I18" s="256" t="s">
        <v>1273</v>
      </c>
      <c r="J18" s="257">
        <v>43139</v>
      </c>
      <c r="K18" s="258">
        <v>0.70833333333333337</v>
      </c>
      <c r="L18" t="s">
        <v>1272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3"/>
  <sheetViews>
    <sheetView showGridLines="0" workbookViewId="0">
      <selection activeCell="L13" sqref="L13"/>
    </sheetView>
  </sheetViews>
  <sheetFormatPr defaultColWidth="9" defaultRowHeight="14.25"/>
  <cols>
    <col min="3" max="3" width="12.796875" bestFit="1" customWidth="1"/>
    <col min="7" max="7" width="9" style="19"/>
    <col min="9" max="9" width="9" style="20"/>
  </cols>
  <sheetData>
    <row r="3" spans="2:13">
      <c r="B3" s="21" t="s">
        <v>1183</v>
      </c>
      <c r="C3" s="21" t="s">
        <v>1184</v>
      </c>
      <c r="D3" s="21" t="s">
        <v>1185</v>
      </c>
      <c r="E3" s="21" t="s">
        <v>1106</v>
      </c>
      <c r="F3" s="21" t="s">
        <v>1186</v>
      </c>
      <c r="G3" s="22" t="s">
        <v>1187</v>
      </c>
      <c r="H3" s="21" t="s">
        <v>1188</v>
      </c>
      <c r="I3" s="24" t="s">
        <v>1189</v>
      </c>
      <c r="J3" s="21" t="s">
        <v>4</v>
      </c>
      <c r="K3" s="21" t="s">
        <v>1190</v>
      </c>
      <c r="L3" s="21" t="s">
        <v>1191</v>
      </c>
      <c r="M3" s="1"/>
    </row>
    <row r="4" spans="2:13">
      <c r="B4" s="1" t="s">
        <v>1257</v>
      </c>
      <c r="C4" s="1" t="s">
        <v>1256</v>
      </c>
      <c r="D4" s="1" t="s">
        <v>1192</v>
      </c>
      <c r="E4" s="1" t="s">
        <v>1255</v>
      </c>
      <c r="F4" s="1">
        <v>80</v>
      </c>
      <c r="G4" s="23" t="s">
        <v>1194</v>
      </c>
      <c r="H4" s="1" t="s">
        <v>1193</v>
      </c>
      <c r="I4" s="25"/>
      <c r="J4" s="1">
        <v>1</v>
      </c>
      <c r="K4" s="1"/>
      <c r="L4" s="1"/>
      <c r="M4" s="1"/>
    </row>
    <row r="5" spans="2:13">
      <c r="B5" s="1" t="s">
        <v>1258</v>
      </c>
      <c r="C5" s="1" t="s">
        <v>1259</v>
      </c>
      <c r="D5" s="1"/>
      <c r="E5" s="1" t="s">
        <v>1255</v>
      </c>
      <c r="F5" s="1">
        <v>80</v>
      </c>
      <c r="G5" s="23" t="s">
        <v>1194</v>
      </c>
      <c r="H5" s="1" t="s">
        <v>1193</v>
      </c>
      <c r="I5" s="25"/>
      <c r="J5" s="1">
        <v>1</v>
      </c>
      <c r="K5" s="1"/>
      <c r="L5" s="1"/>
      <c r="M5" s="1"/>
    </row>
    <row r="6" spans="2:13">
      <c r="B6" s="1" t="s">
        <v>1262</v>
      </c>
      <c r="C6" s="1" t="s">
        <v>1260</v>
      </c>
      <c r="D6" s="1"/>
      <c r="E6" s="1" t="s">
        <v>1255</v>
      </c>
      <c r="F6" s="1">
        <v>80</v>
      </c>
      <c r="G6" s="23" t="s">
        <v>1194</v>
      </c>
      <c r="H6" s="1" t="s">
        <v>1193</v>
      </c>
      <c r="I6" s="25"/>
      <c r="J6" s="1">
        <v>1</v>
      </c>
      <c r="K6" s="1"/>
      <c r="L6" s="1"/>
      <c r="M6" s="1"/>
    </row>
    <row r="7" spans="2:13">
      <c r="B7" s="1" t="s">
        <v>1263</v>
      </c>
      <c r="C7" s="1" t="s">
        <v>1261</v>
      </c>
      <c r="D7" s="1"/>
      <c r="E7" s="1" t="s">
        <v>1255</v>
      </c>
      <c r="F7" s="1">
        <v>80</v>
      </c>
      <c r="G7" s="23" t="s">
        <v>1194</v>
      </c>
      <c r="H7" s="1" t="s">
        <v>1193</v>
      </c>
      <c r="I7" s="25"/>
      <c r="J7" s="1">
        <v>1</v>
      </c>
      <c r="K7" s="1"/>
      <c r="L7" s="1"/>
      <c r="M7" s="1"/>
    </row>
    <row r="8" spans="2:13">
      <c r="B8" s="1" t="s">
        <v>1264</v>
      </c>
      <c r="C8" s="1" t="s">
        <v>1267</v>
      </c>
      <c r="D8" s="1"/>
      <c r="E8" s="1" t="s">
        <v>1195</v>
      </c>
      <c r="F8" s="1">
        <v>160</v>
      </c>
      <c r="G8" s="23" t="s">
        <v>1194</v>
      </c>
      <c r="H8" s="1" t="s">
        <v>1193</v>
      </c>
      <c r="I8" s="25"/>
      <c r="J8" s="1">
        <v>1</v>
      </c>
      <c r="K8" s="1"/>
      <c r="L8" s="1"/>
      <c r="M8" s="1"/>
    </row>
    <row r="9" spans="2:13">
      <c r="B9" s="1" t="s">
        <v>1265</v>
      </c>
      <c r="C9" s="1" t="s">
        <v>1266</v>
      </c>
      <c r="D9" s="1"/>
      <c r="E9" s="1" t="s">
        <v>1195</v>
      </c>
      <c r="F9" s="1">
        <v>160</v>
      </c>
      <c r="G9" s="23" t="s">
        <v>1194</v>
      </c>
      <c r="H9" s="1" t="s">
        <v>1193</v>
      </c>
      <c r="I9" s="25"/>
      <c r="J9" s="1">
        <v>1</v>
      </c>
      <c r="K9" s="1"/>
      <c r="L9" s="1"/>
      <c r="M9" s="1"/>
    </row>
    <row r="10" spans="2:13">
      <c r="B10" s="1" t="s">
        <v>1196</v>
      </c>
      <c r="C10" s="1" t="s">
        <v>1268</v>
      </c>
      <c r="D10" s="1"/>
      <c r="E10" s="1" t="s">
        <v>1197</v>
      </c>
      <c r="F10" s="1">
        <v>160</v>
      </c>
      <c r="G10" s="23" t="s">
        <v>1194</v>
      </c>
      <c r="H10" s="1" t="s">
        <v>1193</v>
      </c>
      <c r="I10" s="25"/>
      <c r="J10" s="1">
        <v>1</v>
      </c>
      <c r="K10" s="1"/>
      <c r="L10" s="1"/>
      <c r="M10" s="1"/>
    </row>
    <row r="11" spans="2:13">
      <c r="B11" s="1" t="s">
        <v>1198</v>
      </c>
      <c r="C11" s="1" t="s">
        <v>1268</v>
      </c>
      <c r="D11" s="1"/>
      <c r="E11" s="1" t="s">
        <v>1197</v>
      </c>
      <c r="F11" s="1">
        <v>160</v>
      </c>
      <c r="G11" s="23" t="s">
        <v>1194</v>
      </c>
      <c r="H11" s="1" t="s">
        <v>1193</v>
      </c>
      <c r="I11" s="25"/>
      <c r="J11" s="1">
        <v>1</v>
      </c>
      <c r="K11" s="1"/>
      <c r="L11" s="1"/>
      <c r="M11" s="1"/>
    </row>
    <row r="12" spans="2:13">
      <c r="B12" s="1" t="s">
        <v>1199</v>
      </c>
      <c r="C12" s="1" t="s">
        <v>1268</v>
      </c>
      <c r="D12" s="1"/>
      <c r="E12" s="1" t="s">
        <v>1195</v>
      </c>
      <c r="F12" s="1">
        <v>160</v>
      </c>
      <c r="G12" s="23" t="s">
        <v>1194</v>
      </c>
      <c r="H12" s="1" t="s">
        <v>1193</v>
      </c>
      <c r="I12" s="25"/>
      <c r="J12" s="1">
        <v>1</v>
      </c>
      <c r="K12" s="1"/>
      <c r="L12" s="1"/>
      <c r="M12" s="1"/>
    </row>
    <row r="13" spans="2:13">
      <c r="B13" s="1" t="s">
        <v>1200</v>
      </c>
      <c r="C13" s="1" t="s">
        <v>1268</v>
      </c>
      <c r="D13" s="1"/>
      <c r="E13" s="1" t="s">
        <v>1195</v>
      </c>
      <c r="F13" s="1">
        <v>160</v>
      </c>
      <c r="G13" s="23" t="s">
        <v>1194</v>
      </c>
      <c r="H13" s="1" t="s">
        <v>1193</v>
      </c>
      <c r="I13" s="25"/>
      <c r="J13" s="1">
        <v>1</v>
      </c>
      <c r="K13" s="1"/>
      <c r="L13" s="1"/>
      <c r="M13" s="1"/>
    </row>
    <row r="14" spans="2:13">
      <c r="B14" s="1"/>
      <c r="C14" s="1"/>
      <c r="D14" s="1"/>
      <c r="E14" s="1"/>
      <c r="F14" s="1"/>
      <c r="G14" s="23"/>
      <c r="H14" s="1"/>
      <c r="I14" s="25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23"/>
      <c r="H15" s="1"/>
      <c r="I15" s="25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23"/>
      <c r="H16" s="1"/>
      <c r="I16" s="25"/>
      <c r="J16" s="1"/>
      <c r="K16" s="1"/>
      <c r="L16" s="1"/>
      <c r="M16" s="1"/>
    </row>
    <row r="17" spans="2:13">
      <c r="B17" s="1"/>
      <c r="C17" s="1"/>
      <c r="D17" s="1"/>
      <c r="E17" s="1"/>
      <c r="F17" s="1"/>
      <c r="G17" s="23"/>
      <c r="H17" s="1"/>
      <c r="I17" s="25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23"/>
      <c r="H18" s="1"/>
      <c r="I18" s="25"/>
      <c r="J18" s="1"/>
      <c r="K18" s="1"/>
      <c r="L18" s="1"/>
      <c r="M18" s="1"/>
    </row>
    <row r="19" spans="2:13">
      <c r="B19" s="1"/>
      <c r="C19" s="1"/>
      <c r="D19" s="1"/>
      <c r="E19" s="1"/>
      <c r="F19" s="1"/>
      <c r="G19" s="23"/>
      <c r="H19" s="1"/>
      <c r="I19" s="25"/>
      <c r="J19" s="1"/>
      <c r="K19" s="1"/>
      <c r="L19" s="1"/>
      <c r="M19" s="1"/>
    </row>
    <row r="20" spans="2:13">
      <c r="B20" s="1"/>
      <c r="C20" s="1"/>
      <c r="D20" s="1"/>
      <c r="E20" s="1"/>
      <c r="F20" s="1"/>
      <c r="G20" s="23"/>
      <c r="H20" s="1"/>
      <c r="I20" s="25"/>
      <c r="J20" s="1"/>
      <c r="K20" s="1"/>
      <c r="L20" s="1"/>
      <c r="M20" s="1"/>
    </row>
    <row r="21" spans="2:13">
      <c r="B21" s="1"/>
      <c r="C21" s="1"/>
      <c r="D21" s="1"/>
      <c r="E21" s="1"/>
      <c r="F21" s="1"/>
      <c r="G21" s="23"/>
      <c r="H21" s="1"/>
      <c r="I21" s="25"/>
      <c r="J21" s="1"/>
      <c r="K21" s="1"/>
      <c r="L21" s="1"/>
      <c r="M21" s="1"/>
    </row>
    <row r="22" spans="2:13">
      <c r="B22" s="1"/>
      <c r="C22" s="1"/>
      <c r="D22" s="1"/>
      <c r="E22" s="1"/>
      <c r="F22" s="1"/>
      <c r="G22" s="23"/>
      <c r="H22" s="1"/>
      <c r="I22" s="25"/>
      <c r="J22" s="1"/>
      <c r="K22" s="1"/>
      <c r="L22" s="1"/>
      <c r="M22" s="1"/>
    </row>
    <row r="23" spans="2:13">
      <c r="B23" s="1"/>
      <c r="C23" s="1"/>
      <c r="D23" s="1"/>
      <c r="E23" s="1"/>
      <c r="F23" s="1"/>
      <c r="G23" s="23"/>
      <c r="H23" s="1"/>
      <c r="I23" s="25"/>
      <c r="J23" s="1"/>
      <c r="K23" s="1"/>
      <c r="L23" s="1"/>
      <c r="M23" s="1"/>
    </row>
    <row r="24" spans="2:13">
      <c r="B24" s="1"/>
      <c r="C24" s="1"/>
      <c r="D24" s="1"/>
      <c r="E24" s="1"/>
      <c r="F24" s="1"/>
      <c r="G24" s="23"/>
      <c r="H24" s="1"/>
      <c r="I24" s="25"/>
      <c r="J24" s="1"/>
      <c r="K24" s="1"/>
      <c r="L24" s="1"/>
      <c r="M24" s="1"/>
    </row>
    <row r="29" spans="2:13">
      <c r="C29" t="s">
        <v>1201</v>
      </c>
    </row>
    <row r="31" spans="2:13">
      <c r="C31" t="s">
        <v>1202</v>
      </c>
      <c r="D31" t="s">
        <v>1203</v>
      </c>
    </row>
    <row r="33" spans="3:4">
      <c r="C33" t="s">
        <v>1204</v>
      </c>
      <c r="D33" t="s">
        <v>1203</v>
      </c>
    </row>
  </sheetData>
  <pageMargins left="0.69930555555555596" right="0.69930555555555596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8"/>
  <sheetViews>
    <sheetView showGridLines="0" topLeftCell="A34" workbookViewId="0">
      <selection activeCell="C54" sqref="C54"/>
    </sheetView>
  </sheetViews>
  <sheetFormatPr defaultColWidth="9.1328125" defaultRowHeight="14.25"/>
  <cols>
    <col min="1" max="1" width="9.1328125" style="3"/>
    <col min="2" max="2" width="5.1328125" style="3" customWidth="1"/>
    <col min="3" max="3" width="3.86328125" style="3" customWidth="1"/>
    <col min="4" max="4" width="6.3984375" style="3" customWidth="1"/>
    <col min="5" max="5" width="10" style="3" customWidth="1"/>
    <col min="6" max="6" width="8.86328125" style="3" customWidth="1"/>
    <col min="7" max="7" width="11.59765625" style="2" customWidth="1"/>
    <col min="8" max="8" width="11" style="3" customWidth="1"/>
    <col min="9" max="9" width="11.86328125" style="4" customWidth="1"/>
    <col min="10" max="16384" width="9.1328125" style="3"/>
  </cols>
  <sheetData>
    <row r="3" spans="2:9">
      <c r="B3" s="5" t="s">
        <v>1173</v>
      </c>
      <c r="C3" s="6"/>
      <c r="D3" s="6"/>
      <c r="E3" s="6"/>
      <c r="F3" s="6"/>
      <c r="G3" s="6"/>
      <c r="H3" s="6"/>
      <c r="I3" s="6"/>
    </row>
    <row r="4" spans="2:9">
      <c r="B4" s="6"/>
      <c r="C4" s="6"/>
      <c r="D4" s="6"/>
      <c r="E4" s="6"/>
      <c r="F4" s="6"/>
      <c r="G4" s="6" t="s">
        <v>790</v>
      </c>
      <c r="H4" s="6" t="s">
        <v>799</v>
      </c>
      <c r="I4" s="6" t="s">
        <v>1205</v>
      </c>
    </row>
    <row r="5" spans="2:9">
      <c r="B5" s="6"/>
      <c r="C5" s="6" t="s">
        <v>37</v>
      </c>
      <c r="D5" s="6" t="s">
        <v>1206</v>
      </c>
      <c r="E5" s="6" t="s">
        <v>1164</v>
      </c>
      <c r="F5" s="6" t="s">
        <v>53</v>
      </c>
      <c r="G5" s="6" t="s">
        <v>53</v>
      </c>
      <c r="H5" s="6" t="s">
        <v>53</v>
      </c>
      <c r="I5" s="6" t="s">
        <v>53</v>
      </c>
    </row>
    <row r="6" spans="2:9">
      <c r="B6" s="6" t="s">
        <v>1207</v>
      </c>
      <c r="C6" s="6">
        <v>12</v>
      </c>
      <c r="D6" s="6">
        <v>625</v>
      </c>
      <c r="E6" s="6">
        <v>2500</v>
      </c>
      <c r="F6" s="7">
        <f>(C6+D6)*3.142*2/1000+E6*2/1000</f>
        <v>9.0029079999999997</v>
      </c>
      <c r="G6" s="7">
        <f>(C6+D6)*3.142*2/1000+E6*2/1000</f>
        <v>9.0029079999999997</v>
      </c>
      <c r="H6" s="7">
        <f>E6*0.001</f>
        <v>2.5</v>
      </c>
      <c r="I6" s="7">
        <f>(C6+D6)*3.142/1000</f>
        <v>2.0014539999999998</v>
      </c>
    </row>
    <row r="7" spans="2:9">
      <c r="B7" s="6" t="s">
        <v>1208</v>
      </c>
      <c r="C7" s="6">
        <v>12</v>
      </c>
      <c r="D7" s="6">
        <v>625</v>
      </c>
      <c r="E7" s="6">
        <v>2000</v>
      </c>
      <c r="F7" s="7">
        <f t="shared" ref="F7:F8" si="0">(C7+D7)*3.142*2/1000+E7*2/1000</f>
        <v>8.0029079999999997</v>
      </c>
      <c r="G7" s="7">
        <f t="shared" ref="G7:G8" si="1">(C7+D7)*3.142*2/1000+E7*2/1000</f>
        <v>8.0029079999999997</v>
      </c>
      <c r="H7" s="7">
        <f t="shared" ref="H7:H8" si="2">E7*0.001</f>
        <v>2</v>
      </c>
      <c r="I7" s="7">
        <f t="shared" ref="I7:I9" si="3">(C7+D7)*3.142/1000</f>
        <v>2.0014539999999998</v>
      </c>
    </row>
    <row r="8" spans="2:9">
      <c r="B8" s="6" t="s">
        <v>1209</v>
      </c>
      <c r="C8" s="6">
        <v>12</v>
      </c>
      <c r="D8" s="6">
        <v>625</v>
      </c>
      <c r="E8" s="6">
        <v>1000</v>
      </c>
      <c r="F8" s="7">
        <f t="shared" si="0"/>
        <v>6.0029079999999997</v>
      </c>
      <c r="G8" s="7">
        <f t="shared" si="1"/>
        <v>6.0029079999999997</v>
      </c>
      <c r="H8" s="7">
        <f t="shared" si="2"/>
        <v>1</v>
      </c>
      <c r="I8" s="7">
        <f t="shared" si="3"/>
        <v>2.0014539999999998</v>
      </c>
    </row>
    <row r="9" spans="2:9">
      <c r="B9" s="6" t="s">
        <v>1210</v>
      </c>
      <c r="C9" s="6"/>
      <c r="D9" s="6"/>
      <c r="E9" s="6"/>
      <c r="F9" s="6"/>
      <c r="G9" s="6"/>
      <c r="H9" s="6"/>
      <c r="I9" s="7">
        <f t="shared" si="3"/>
        <v>0</v>
      </c>
    </row>
    <row r="11" spans="2:9">
      <c r="B11" s="5" t="s">
        <v>1211</v>
      </c>
      <c r="C11" s="6"/>
      <c r="D11" s="6"/>
      <c r="E11" s="6"/>
      <c r="F11" s="6"/>
      <c r="G11" s="6"/>
      <c r="H11" s="6"/>
      <c r="I11" s="6"/>
    </row>
    <row r="12" spans="2:9">
      <c r="B12" s="6"/>
      <c r="C12" s="6"/>
      <c r="D12" s="6"/>
      <c r="E12" s="6"/>
      <c r="F12" s="6"/>
      <c r="G12" s="6" t="s">
        <v>790</v>
      </c>
      <c r="H12" s="6" t="s">
        <v>799</v>
      </c>
      <c r="I12" s="6" t="s">
        <v>1205</v>
      </c>
    </row>
    <row r="13" spans="2:9">
      <c r="B13" s="6"/>
      <c r="C13" s="6" t="s">
        <v>37</v>
      </c>
      <c r="D13" s="6" t="s">
        <v>1206</v>
      </c>
      <c r="E13" s="6" t="s">
        <v>1164</v>
      </c>
      <c r="F13" s="6" t="s">
        <v>53</v>
      </c>
      <c r="G13" s="6" t="s">
        <v>53</v>
      </c>
      <c r="H13" s="6" t="s">
        <v>53</v>
      </c>
      <c r="I13" s="6" t="s">
        <v>53</v>
      </c>
    </row>
    <row r="14" spans="2:9">
      <c r="B14" s="6" t="s">
        <v>1207</v>
      </c>
      <c r="C14" s="6">
        <v>12</v>
      </c>
      <c r="D14" s="6">
        <v>625</v>
      </c>
      <c r="E14" s="6">
        <v>512</v>
      </c>
      <c r="F14" s="7">
        <f>(C14+D14)*3.142*2/1000+E14*2/1000</f>
        <v>5.0269079999999997</v>
      </c>
      <c r="G14" s="7">
        <f>(C14+D14)*3.142*2/1000+E14*2/1000</f>
        <v>5.0269079999999997</v>
      </c>
      <c r="H14" s="7">
        <f>E14*0.001</f>
        <v>0.51200000000000001</v>
      </c>
      <c r="I14" s="7">
        <f>(C14+D14)*3.142/1000</f>
        <v>2.0014539999999998</v>
      </c>
    </row>
    <row r="16" spans="2:9">
      <c r="B16" s="5" t="s">
        <v>1212</v>
      </c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 t="s">
        <v>790</v>
      </c>
      <c r="H17" s="6" t="s">
        <v>799</v>
      </c>
      <c r="I17" s="6" t="s">
        <v>1205</v>
      </c>
    </row>
    <row r="18" spans="2:9">
      <c r="B18" s="6"/>
      <c r="C18" s="6" t="s">
        <v>37</v>
      </c>
      <c r="D18" s="6" t="s">
        <v>1206</v>
      </c>
      <c r="E18" s="6" t="s">
        <v>1164</v>
      </c>
      <c r="F18" s="6" t="s">
        <v>53</v>
      </c>
      <c r="G18" s="6" t="s">
        <v>53</v>
      </c>
      <c r="H18" s="6" t="s">
        <v>53</v>
      </c>
      <c r="I18" s="6" t="s">
        <v>53</v>
      </c>
    </row>
    <row r="19" spans="2:9">
      <c r="B19" s="6" t="s">
        <v>1207</v>
      </c>
      <c r="C19" s="6">
        <v>12</v>
      </c>
      <c r="D19" s="6">
        <v>740</v>
      </c>
      <c r="E19" s="6">
        <v>352</v>
      </c>
      <c r="F19" s="7">
        <f>(C19+D19)*3.142*2/1000+E19*2/1000</f>
        <v>5.4295679999999997</v>
      </c>
      <c r="G19" s="7">
        <f>(C19+D19)*3.142*2/1000+E19*2/1000</f>
        <v>5.4295679999999997</v>
      </c>
      <c r="H19" s="7">
        <f>E19*0.001</f>
        <v>0.35199999999999998</v>
      </c>
      <c r="I19" s="7">
        <f>(C19+D19)*3.142/1000</f>
        <v>2.362784</v>
      </c>
    </row>
    <row r="21" spans="2:9">
      <c r="B21" s="5" t="s">
        <v>1213</v>
      </c>
      <c r="C21" s="6"/>
      <c r="D21" s="6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 t="s">
        <v>1214</v>
      </c>
      <c r="G22" s="6" t="s">
        <v>790</v>
      </c>
      <c r="H22" s="6"/>
      <c r="I22" s="6"/>
    </row>
    <row r="23" spans="2:9">
      <c r="B23" s="6"/>
      <c r="C23" s="6" t="s">
        <v>37</v>
      </c>
      <c r="D23" s="6" t="s">
        <v>1206</v>
      </c>
      <c r="E23" s="6" t="s">
        <v>1187</v>
      </c>
      <c r="F23" s="8" t="s">
        <v>1215</v>
      </c>
      <c r="G23" s="6" t="s">
        <v>53</v>
      </c>
      <c r="H23" s="6"/>
      <c r="I23" s="6"/>
    </row>
    <row r="24" spans="2:9">
      <c r="B24" s="6"/>
      <c r="C24" s="6">
        <v>12</v>
      </c>
      <c r="D24" s="6">
        <v>740</v>
      </c>
      <c r="E24" s="9">
        <v>8.4027777777777798E-2</v>
      </c>
      <c r="F24" s="7">
        <f>(C24+D24)*1.25/1000</f>
        <v>0.94</v>
      </c>
      <c r="G24" s="7">
        <f>F24*3.142</f>
        <v>2.9534799999999999</v>
      </c>
      <c r="H24" s="7"/>
      <c r="I24" s="7"/>
    </row>
    <row r="26" spans="2:9" s="2" customFormat="1">
      <c r="B26" s="275" t="s">
        <v>1216</v>
      </c>
      <c r="C26" s="276"/>
      <c r="D26" s="276"/>
      <c r="E26" s="276"/>
      <c r="F26" s="276"/>
      <c r="G26" s="277"/>
      <c r="I26" s="18"/>
    </row>
    <row r="27" spans="2:9" s="2" customFormat="1">
      <c r="B27" s="6"/>
      <c r="C27" s="6" t="s">
        <v>1128</v>
      </c>
      <c r="D27" s="6" t="s">
        <v>1217</v>
      </c>
      <c r="E27" s="6" t="s">
        <v>1218</v>
      </c>
      <c r="F27" s="6" t="s">
        <v>1131</v>
      </c>
      <c r="G27" s="8" t="s">
        <v>1219</v>
      </c>
      <c r="H27" s="10" t="s">
        <v>1220</v>
      </c>
      <c r="I27" s="18"/>
    </row>
    <row r="28" spans="2:9">
      <c r="B28" s="6" t="s">
        <v>1221</v>
      </c>
      <c r="C28" s="6"/>
      <c r="D28" s="11"/>
      <c r="E28" s="11"/>
      <c r="F28" s="11">
        <v>1</v>
      </c>
      <c r="G28" s="12">
        <f>(D28*2+E28*2)*F28/1000</f>
        <v>0</v>
      </c>
      <c r="H28" s="278">
        <f>E28*2/1000*F28</f>
        <v>0</v>
      </c>
      <c r="I28" s="271">
        <f>H28*F33</f>
        <v>0</v>
      </c>
    </row>
    <row r="29" spans="2:9">
      <c r="B29" s="6" t="s">
        <v>1222</v>
      </c>
      <c r="C29" s="6"/>
      <c r="D29" s="11"/>
      <c r="E29" s="11"/>
      <c r="F29" s="11">
        <v>1</v>
      </c>
      <c r="G29" s="12">
        <f>(D29*2+E29*2+1656*3.142*360^-1*120)*F29/1000</f>
        <v>1.7343839999999999</v>
      </c>
      <c r="H29" s="279"/>
      <c r="I29" s="272"/>
    </row>
    <row r="30" spans="2:9">
      <c r="B30" s="6" t="s">
        <v>1223</v>
      </c>
      <c r="C30" s="6"/>
      <c r="D30" s="11"/>
      <c r="E30" s="11"/>
      <c r="F30" s="11">
        <v>4</v>
      </c>
      <c r="G30" s="12">
        <f>(D30*2+E30*2)*F30/1000</f>
        <v>0</v>
      </c>
      <c r="H30" s="13">
        <f>(D30*2+E30*2)/1000*F30</f>
        <v>0</v>
      </c>
      <c r="I30" s="273">
        <f>(H30+H31)*F33</f>
        <v>0</v>
      </c>
    </row>
    <row r="31" spans="2:9">
      <c r="B31" s="6" t="s">
        <v>1223</v>
      </c>
      <c r="C31" s="6"/>
      <c r="D31" s="11"/>
      <c r="E31" s="11"/>
      <c r="F31" s="11">
        <v>4</v>
      </c>
      <c r="G31" s="12">
        <f>(D31*2+E31*2)*F31/1000</f>
        <v>0</v>
      </c>
      <c r="H31" s="13">
        <f>(D31*2+E31*2)/1000*F31</f>
        <v>0</v>
      </c>
      <c r="I31" s="274"/>
    </row>
    <row r="32" spans="2:9">
      <c r="B32" s="11"/>
      <c r="C32" s="11"/>
      <c r="D32" s="11"/>
      <c r="E32" s="11"/>
      <c r="F32" s="11"/>
      <c r="G32" s="12">
        <f>SUM(G28:G31)</f>
        <v>1.7343839999999999</v>
      </c>
      <c r="H32" s="12"/>
      <c r="I32" s="13">
        <f>SUM(I28:I31)</f>
        <v>0</v>
      </c>
    </row>
    <row r="33" spans="2:9">
      <c r="B33" s="14"/>
      <c r="C33" s="14"/>
      <c r="D33" s="14"/>
      <c r="E33" s="15" t="s">
        <v>1224</v>
      </c>
      <c r="F33" s="14">
        <v>2</v>
      </c>
      <c r="G33" s="16">
        <f>G32*F33</f>
        <v>3.4687679999999999</v>
      </c>
      <c r="I33" s="17">
        <f>SUM(I32)</f>
        <v>0</v>
      </c>
    </row>
    <row r="34" spans="2:9">
      <c r="B34" s="14"/>
      <c r="C34" s="14"/>
      <c r="D34" s="14"/>
      <c r="E34" s="14"/>
      <c r="F34" s="14"/>
      <c r="G34" s="16"/>
    </row>
    <row r="37" spans="2:9" s="2" customFormat="1">
      <c r="B37" s="275" t="s">
        <v>1225</v>
      </c>
      <c r="C37" s="276"/>
      <c r="D37" s="276"/>
      <c r="E37" s="276"/>
      <c r="F37" s="276"/>
      <c r="G37" s="277"/>
      <c r="I37" s="18"/>
    </row>
    <row r="38" spans="2:9" s="2" customFormat="1">
      <c r="B38" s="6"/>
      <c r="C38" s="6" t="s">
        <v>1128</v>
      </c>
      <c r="D38" s="6" t="s">
        <v>1217</v>
      </c>
      <c r="E38" s="6" t="s">
        <v>1218</v>
      </c>
      <c r="F38" s="6" t="s">
        <v>1131</v>
      </c>
      <c r="G38" s="8" t="s">
        <v>1219</v>
      </c>
      <c r="H38" s="10" t="s">
        <v>1082</v>
      </c>
      <c r="I38" s="18"/>
    </row>
    <row r="39" spans="2:9">
      <c r="B39" s="6" t="s">
        <v>1221</v>
      </c>
      <c r="C39" s="6">
        <v>16</v>
      </c>
      <c r="D39" s="11">
        <v>150</v>
      </c>
      <c r="E39" s="11">
        <v>510</v>
      </c>
      <c r="F39" s="11">
        <v>1</v>
      </c>
      <c r="G39" s="12">
        <f>(D39*2+E39*2)*F39/1000</f>
        <v>1.32</v>
      </c>
      <c r="H39" s="278">
        <f>(E39*4+E41*4)/1000*F47</f>
        <v>4.08</v>
      </c>
      <c r="I39" s="12"/>
    </row>
    <row r="40" spans="2:9">
      <c r="B40" s="6" t="s">
        <v>1222</v>
      </c>
      <c r="C40" s="6">
        <v>12</v>
      </c>
      <c r="D40" s="11">
        <v>234</v>
      </c>
      <c r="E40" s="11">
        <v>490</v>
      </c>
      <c r="F40" s="11">
        <v>1</v>
      </c>
      <c r="G40" s="12">
        <f t="shared" ref="G40:G45" si="4">(D40*2+E40*2)*F40/1000</f>
        <v>1.448</v>
      </c>
      <c r="H40" s="280"/>
      <c r="I40" s="12"/>
    </row>
    <row r="41" spans="2:9">
      <c r="B41" s="6" t="s">
        <v>1226</v>
      </c>
      <c r="C41" s="6"/>
      <c r="D41" s="11"/>
      <c r="E41" s="11"/>
      <c r="F41" s="11">
        <v>1</v>
      </c>
      <c r="G41" s="12">
        <f t="shared" si="4"/>
        <v>0</v>
      </c>
      <c r="H41" s="279"/>
      <c r="I41" s="12"/>
    </row>
    <row r="42" spans="2:9">
      <c r="B42" s="6" t="s">
        <v>1223</v>
      </c>
      <c r="C42" s="6">
        <v>12</v>
      </c>
      <c r="D42" s="11">
        <v>122</v>
      </c>
      <c r="E42" s="11">
        <v>172</v>
      </c>
      <c r="F42" s="11">
        <v>4</v>
      </c>
      <c r="G42" s="12">
        <f t="shared" si="4"/>
        <v>2.3519999999999999</v>
      </c>
      <c r="H42" s="278">
        <f>((D42*2+E42*2)*F42+(D43*2+E43*2)*F43+(D44*2+E44*2)*F44+(D45*2+E45*2)*F45)/1000*F47</f>
        <v>9.4079999999999995</v>
      </c>
      <c r="I42" s="12"/>
    </row>
    <row r="43" spans="2:9">
      <c r="B43" s="6" t="s">
        <v>1223</v>
      </c>
      <c r="C43" s="6">
        <v>12</v>
      </c>
      <c r="D43" s="11">
        <v>122</v>
      </c>
      <c r="E43" s="11">
        <v>172</v>
      </c>
      <c r="F43" s="11">
        <v>4</v>
      </c>
      <c r="G43" s="12">
        <f t="shared" si="4"/>
        <v>2.3519999999999999</v>
      </c>
      <c r="H43" s="280"/>
      <c r="I43" s="12"/>
    </row>
    <row r="44" spans="2:9">
      <c r="B44" s="6" t="s">
        <v>1223</v>
      </c>
      <c r="C44" s="6"/>
      <c r="D44" s="11"/>
      <c r="E44" s="11"/>
      <c r="F44" s="11">
        <v>4</v>
      </c>
      <c r="G44" s="12">
        <f t="shared" si="4"/>
        <v>0</v>
      </c>
      <c r="H44" s="280"/>
      <c r="I44" s="12"/>
    </row>
    <row r="45" spans="2:9">
      <c r="B45" s="6" t="s">
        <v>1223</v>
      </c>
      <c r="C45" s="6"/>
      <c r="D45" s="11"/>
      <c r="E45" s="11"/>
      <c r="F45" s="11">
        <v>4</v>
      </c>
      <c r="G45" s="12">
        <f t="shared" si="4"/>
        <v>0</v>
      </c>
      <c r="H45" s="280"/>
      <c r="I45" s="12"/>
    </row>
    <row r="46" spans="2:9">
      <c r="B46" s="11"/>
      <c r="C46" s="11"/>
      <c r="D46" s="11"/>
      <c r="E46" s="11"/>
      <c r="F46" s="11"/>
      <c r="G46" s="12">
        <f>SUM(G39:G45)</f>
        <v>7.4719999999999995</v>
      </c>
      <c r="H46" s="279"/>
      <c r="I46" s="12"/>
    </row>
    <row r="47" spans="2:9">
      <c r="B47" s="14"/>
      <c r="C47" s="14"/>
      <c r="D47" s="14"/>
      <c r="E47" s="15" t="s">
        <v>1224</v>
      </c>
      <c r="F47" s="14">
        <v>2</v>
      </c>
      <c r="G47" s="16">
        <f>G46*F47</f>
        <v>14.943999999999999</v>
      </c>
      <c r="H47" s="17">
        <f>SUM(H39:H46)</f>
        <v>13.488</v>
      </c>
      <c r="I47" s="17"/>
    </row>
    <row r="48" spans="2:9">
      <c r="G48" s="3"/>
      <c r="I48" s="3"/>
    </row>
  </sheetData>
  <mergeCells count="7">
    <mergeCell ref="H39:H41"/>
    <mergeCell ref="H42:H46"/>
    <mergeCell ref="I28:I29"/>
    <mergeCell ref="I30:I31"/>
    <mergeCell ref="B26:G26"/>
    <mergeCell ref="B37:G37"/>
    <mergeCell ref="H28:H29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331"/>
  <sheetViews>
    <sheetView showFormulas="1" showGridLines="0" tabSelected="1" topLeftCell="B297" zoomScale="90" zoomScaleNormal="90" workbookViewId="0">
      <selection activeCell="D312" sqref="D312"/>
    </sheetView>
  </sheetViews>
  <sheetFormatPr defaultColWidth="9" defaultRowHeight="20.25" customHeight="1"/>
  <cols>
    <col min="1" max="1" width="7.265625" style="185" hidden="1" customWidth="1"/>
    <col min="2" max="2" width="4.86328125" style="185" customWidth="1"/>
    <col min="3" max="3" width="5.59765625" style="186" customWidth="1"/>
    <col min="4" max="4" width="5.86328125" style="187" customWidth="1"/>
    <col min="5" max="5" width="35.73046875" style="188" customWidth="1"/>
    <col min="6" max="6" width="10.3984375" style="189" customWidth="1"/>
    <col min="7" max="7" width="11.86328125" style="190" customWidth="1"/>
    <col min="8" max="8" width="6.59765625" style="190" customWidth="1"/>
    <col min="9" max="9" width="7.73046875" style="191" customWidth="1"/>
    <col min="10" max="10" width="12.73046875" style="191" customWidth="1"/>
    <col min="11" max="11" width="5" style="192" customWidth="1"/>
    <col min="12" max="12" width="6" style="191" customWidth="1"/>
    <col min="13" max="13" width="30.53125" style="193" bestFit="1" customWidth="1"/>
    <col min="14" max="14" width="7.265625" style="191" customWidth="1"/>
    <col min="15" max="15" width="17.46484375" style="194" bestFit="1" customWidth="1"/>
    <col min="16" max="16" width="6.3984375" style="191" customWidth="1"/>
    <col min="17" max="17" width="8.86328125" style="191" customWidth="1"/>
    <col min="18" max="18" width="3.265625" style="195" customWidth="1"/>
    <col min="19" max="19" width="10.59765625" style="193" customWidth="1"/>
    <col min="20" max="20" width="5.1328125" style="192" customWidth="1"/>
    <col min="21" max="21" width="13" style="196" bestFit="1" customWidth="1"/>
    <col min="22" max="16365" width="9" style="185"/>
    <col min="16366" max="16384" width="9" style="197"/>
  </cols>
  <sheetData>
    <row r="1" spans="3:21" s="184" customFormat="1" ht="34.5" customHeight="1">
      <c r="C1" s="198">
        <f>D1</f>
        <v>1</v>
      </c>
      <c r="D1" s="199">
        <v>1</v>
      </c>
      <c r="E1" s="200" t="s">
        <v>0</v>
      </c>
      <c r="F1" s="201"/>
      <c r="G1" s="202"/>
      <c r="H1" s="202" t="s">
        <v>1</v>
      </c>
      <c r="I1" s="213" t="s">
        <v>2</v>
      </c>
      <c r="J1" s="213" t="s">
        <v>3</v>
      </c>
      <c r="K1" s="213" t="s">
        <v>4</v>
      </c>
      <c r="L1" s="213" t="s">
        <v>5</v>
      </c>
      <c r="M1" s="214" t="s">
        <v>6</v>
      </c>
      <c r="N1" s="213" t="s">
        <v>5</v>
      </c>
      <c r="O1" s="215" t="s">
        <v>7</v>
      </c>
      <c r="P1" s="213" t="s">
        <v>5</v>
      </c>
      <c r="Q1" s="213" t="s">
        <v>8</v>
      </c>
      <c r="R1" s="236" t="s">
        <v>9</v>
      </c>
      <c r="S1" s="214" t="s">
        <v>10</v>
      </c>
      <c r="T1" s="237" t="s">
        <v>5</v>
      </c>
      <c r="U1" s="238"/>
    </row>
    <row r="2" spans="3:21" s="185" customFormat="1" ht="20.25" customHeight="1">
      <c r="C2" s="198">
        <f>D2</f>
        <v>2</v>
      </c>
      <c r="D2" s="203">
        <f>D1+1</f>
        <v>2</v>
      </c>
      <c r="E2" s="204" t="s">
        <v>11</v>
      </c>
      <c r="F2" s="205"/>
      <c r="G2" s="206"/>
      <c r="H2" s="206"/>
      <c r="I2" s="208"/>
      <c r="J2" s="208"/>
      <c r="K2" s="216"/>
      <c r="L2" s="208"/>
      <c r="M2" s="217"/>
      <c r="N2" s="208"/>
      <c r="O2" s="218"/>
      <c r="P2" s="208"/>
      <c r="Q2" s="208"/>
      <c r="R2" s="239"/>
      <c r="S2" s="217"/>
      <c r="T2" s="216"/>
      <c r="U2" s="196"/>
    </row>
    <row r="3" spans="3:21" s="185" customFormat="1" ht="20.25" customHeight="1">
      <c r="C3" s="198">
        <f t="shared" ref="C3:C26" si="0">D3</f>
        <v>3</v>
      </c>
      <c r="D3" s="203">
        <f t="shared" ref="D3:D66" si="1">D2+1</f>
        <v>3</v>
      </c>
      <c r="E3" s="207" t="s">
        <v>12</v>
      </c>
      <c r="F3" s="208"/>
      <c r="G3" s="206"/>
      <c r="H3" s="206"/>
      <c r="I3" s="208"/>
      <c r="J3" s="208"/>
      <c r="K3" s="216"/>
      <c r="L3" s="208"/>
      <c r="M3" s="217"/>
      <c r="N3" s="208"/>
      <c r="O3" s="218"/>
      <c r="P3" s="208"/>
      <c r="Q3" s="208"/>
      <c r="R3" s="239"/>
      <c r="S3" s="217"/>
      <c r="T3" s="216"/>
      <c r="U3" s="196"/>
    </row>
    <row r="4" spans="3:21" s="185" customFormat="1" ht="20.25" customHeight="1">
      <c r="C4" s="198">
        <f t="shared" si="0"/>
        <v>4</v>
      </c>
      <c r="D4" s="203">
        <f t="shared" si="1"/>
        <v>4</v>
      </c>
      <c r="E4" s="207" t="s">
        <v>13</v>
      </c>
      <c r="F4" s="208"/>
      <c r="G4" s="206"/>
      <c r="H4" s="206"/>
      <c r="I4" s="208"/>
      <c r="J4" s="208"/>
      <c r="K4" s="216"/>
      <c r="L4" s="208"/>
      <c r="M4" s="217"/>
      <c r="N4" s="208"/>
      <c r="O4" s="218"/>
      <c r="P4" s="208"/>
      <c r="Q4" s="208"/>
      <c r="R4" s="239"/>
      <c r="S4" s="217"/>
      <c r="T4" s="216"/>
      <c r="U4" s="196"/>
    </row>
    <row r="5" spans="3:21" s="185" customFormat="1" ht="20.25" customHeight="1">
      <c r="C5" s="198">
        <f t="shared" si="0"/>
        <v>5</v>
      </c>
      <c r="D5" s="203">
        <f t="shared" si="1"/>
        <v>5</v>
      </c>
      <c r="E5" s="207" t="s">
        <v>14</v>
      </c>
      <c r="F5" s="208"/>
      <c r="G5" s="206"/>
      <c r="H5" s="206"/>
      <c r="I5" s="208"/>
      <c r="J5" s="208"/>
      <c r="K5" s="216"/>
      <c r="L5" s="208"/>
      <c r="M5" s="217"/>
      <c r="N5" s="208"/>
      <c r="O5" s="218"/>
      <c r="P5" s="208"/>
      <c r="Q5" s="208"/>
      <c r="R5" s="239"/>
      <c r="S5" s="217"/>
      <c r="T5" s="216"/>
      <c r="U5" s="196"/>
    </row>
    <row r="6" spans="3:21" s="185" customFormat="1" ht="20.25" customHeight="1">
      <c r="C6" s="198">
        <f t="shared" si="0"/>
        <v>6</v>
      </c>
      <c r="D6" s="203">
        <f t="shared" si="1"/>
        <v>6</v>
      </c>
      <c r="E6" s="207" t="s">
        <v>15</v>
      </c>
      <c r="F6" s="208"/>
      <c r="G6" s="206"/>
      <c r="H6" s="206"/>
      <c r="I6" s="208"/>
      <c r="J6" s="208"/>
      <c r="K6" s="216"/>
      <c r="L6" s="208"/>
      <c r="M6" s="217"/>
      <c r="N6" s="208"/>
      <c r="O6" s="218"/>
      <c r="P6" s="208"/>
      <c r="Q6" s="208"/>
      <c r="R6" s="239"/>
      <c r="S6" s="217"/>
      <c r="T6" s="216"/>
      <c r="U6" s="196"/>
    </row>
    <row r="7" spans="3:21" s="185" customFormat="1" ht="20.25" customHeight="1">
      <c r="C7" s="198">
        <f t="shared" si="0"/>
        <v>7</v>
      </c>
      <c r="D7" s="203">
        <f t="shared" si="1"/>
        <v>7</v>
      </c>
      <c r="E7" s="207" t="s">
        <v>16</v>
      </c>
      <c r="F7" s="208"/>
      <c r="G7" s="206"/>
      <c r="H7" s="206"/>
      <c r="I7" s="208"/>
      <c r="J7" s="208"/>
      <c r="K7" s="216"/>
      <c r="L7" s="208"/>
      <c r="M7" s="217"/>
      <c r="N7" s="208"/>
      <c r="O7" s="218"/>
      <c r="P7" s="208"/>
      <c r="Q7" s="208"/>
      <c r="R7" s="239"/>
      <c r="S7" s="217"/>
      <c r="T7" s="216"/>
      <c r="U7" s="196"/>
    </row>
    <row r="8" spans="3:21" s="185" customFormat="1" ht="20.25" customHeight="1">
      <c r="C8" s="198">
        <f t="shared" si="0"/>
        <v>8</v>
      </c>
      <c r="D8" s="203">
        <f t="shared" si="1"/>
        <v>8</v>
      </c>
      <c r="E8" s="207" t="s">
        <v>17</v>
      </c>
      <c r="F8" s="208"/>
      <c r="G8" s="206"/>
      <c r="H8" s="206"/>
      <c r="I8" s="208"/>
      <c r="J8" s="208"/>
      <c r="K8" s="216"/>
      <c r="L8" s="208"/>
      <c r="M8" s="217"/>
      <c r="N8" s="208"/>
      <c r="O8" s="218"/>
      <c r="P8" s="208"/>
      <c r="Q8" s="208"/>
      <c r="R8" s="239"/>
      <c r="S8" s="217"/>
      <c r="T8" s="216"/>
      <c r="U8" s="196"/>
    </row>
    <row r="9" spans="3:21" s="185" customFormat="1" ht="20.25" customHeight="1">
      <c r="C9" s="198">
        <f t="shared" si="0"/>
        <v>9</v>
      </c>
      <c r="D9" s="203">
        <f t="shared" si="1"/>
        <v>9</v>
      </c>
      <c r="E9" s="207" t="s">
        <v>18</v>
      </c>
      <c r="F9" s="208"/>
      <c r="G9" s="206"/>
      <c r="H9" s="206"/>
      <c r="I9" s="208"/>
      <c r="J9" s="208"/>
      <c r="K9" s="216"/>
      <c r="L9" s="208"/>
      <c r="M9" s="217"/>
      <c r="N9" s="208"/>
      <c r="O9" s="218"/>
      <c r="P9" s="208"/>
      <c r="Q9" s="208"/>
      <c r="R9" s="239"/>
      <c r="S9" s="217"/>
      <c r="T9" s="216"/>
      <c r="U9" s="196"/>
    </row>
    <row r="10" spans="3:21" s="185" customFormat="1" ht="20.25" customHeight="1">
      <c r="C10" s="198">
        <f t="shared" si="0"/>
        <v>10</v>
      </c>
      <c r="D10" s="203">
        <f t="shared" si="1"/>
        <v>10</v>
      </c>
      <c r="E10" s="207" t="s">
        <v>19</v>
      </c>
      <c r="F10" s="208"/>
      <c r="G10" s="206"/>
      <c r="H10" s="206"/>
      <c r="I10" s="208"/>
      <c r="J10" s="208"/>
      <c r="K10" s="216"/>
      <c r="L10" s="208"/>
      <c r="M10" s="217"/>
      <c r="N10" s="208"/>
      <c r="O10" s="218"/>
      <c r="P10" s="208"/>
      <c r="Q10" s="208"/>
      <c r="R10" s="239"/>
      <c r="S10" s="217"/>
      <c r="T10" s="216"/>
      <c r="U10" s="196"/>
    </row>
    <row r="11" spans="3:21" s="185" customFormat="1" ht="20.25" customHeight="1">
      <c r="C11" s="198">
        <f t="shared" si="0"/>
        <v>11</v>
      </c>
      <c r="D11" s="203">
        <f t="shared" si="1"/>
        <v>11</v>
      </c>
      <c r="E11" s="207" t="s">
        <v>20</v>
      </c>
      <c r="F11" s="208"/>
      <c r="G11" s="206"/>
      <c r="H11" s="206"/>
      <c r="I11" s="208"/>
      <c r="J11" s="208"/>
      <c r="K11" s="216"/>
      <c r="L11" s="208"/>
      <c r="M11" s="217"/>
      <c r="N11" s="208"/>
      <c r="O11" s="218"/>
      <c r="P11" s="208"/>
      <c r="Q11" s="208"/>
      <c r="R11" s="239"/>
      <c r="S11" s="217"/>
      <c r="T11" s="216"/>
      <c r="U11" s="196"/>
    </row>
    <row r="12" spans="3:21" s="185" customFormat="1" ht="20.25" customHeight="1">
      <c r="C12" s="198">
        <f t="shared" si="0"/>
        <v>12</v>
      </c>
      <c r="D12" s="203">
        <f t="shared" si="1"/>
        <v>12</v>
      </c>
      <c r="E12" s="207" t="s">
        <v>21</v>
      </c>
      <c r="F12" s="208"/>
      <c r="G12" s="206"/>
      <c r="H12" s="206"/>
      <c r="I12" s="208"/>
      <c r="J12" s="208"/>
      <c r="K12" s="216"/>
      <c r="L12" s="208"/>
      <c r="M12" s="217"/>
      <c r="N12" s="208"/>
      <c r="O12" s="218"/>
      <c r="P12" s="208"/>
      <c r="Q12" s="208"/>
      <c r="R12" s="239"/>
      <c r="S12" s="217"/>
      <c r="T12" s="216"/>
      <c r="U12" s="196"/>
    </row>
    <row r="13" spans="3:21" s="185" customFormat="1" ht="20.25" customHeight="1">
      <c r="C13" s="198">
        <f t="shared" si="0"/>
        <v>13</v>
      </c>
      <c r="D13" s="203">
        <f t="shared" si="1"/>
        <v>13</v>
      </c>
      <c r="E13" s="207" t="s">
        <v>22</v>
      </c>
      <c r="F13" s="208"/>
      <c r="G13" s="206"/>
      <c r="H13" s="206"/>
      <c r="I13" s="208"/>
      <c r="J13" s="208"/>
      <c r="K13" s="216"/>
      <c r="L13" s="208"/>
      <c r="M13" s="217"/>
      <c r="N13" s="208"/>
      <c r="O13" s="218"/>
      <c r="P13" s="208"/>
      <c r="Q13" s="208"/>
      <c r="R13" s="239"/>
      <c r="S13" s="217"/>
      <c r="T13" s="216"/>
      <c r="U13" s="196"/>
    </row>
    <row r="14" spans="3:21" s="185" customFormat="1" ht="20.25" customHeight="1">
      <c r="C14" s="198">
        <f t="shared" si="0"/>
        <v>14</v>
      </c>
      <c r="D14" s="203">
        <f t="shared" si="1"/>
        <v>14</v>
      </c>
      <c r="E14" s="207" t="s">
        <v>23</v>
      </c>
      <c r="F14" s="208"/>
      <c r="G14" s="206"/>
      <c r="H14" s="206"/>
      <c r="I14" s="208"/>
      <c r="J14" s="208"/>
      <c r="K14" s="216"/>
      <c r="L14" s="208"/>
      <c r="M14" s="217"/>
      <c r="N14" s="208"/>
      <c r="O14" s="218"/>
      <c r="P14" s="208"/>
      <c r="Q14" s="208"/>
      <c r="R14" s="239"/>
      <c r="S14" s="217"/>
      <c r="T14" s="216"/>
      <c r="U14" s="196"/>
    </row>
    <row r="15" spans="3:21" s="185" customFormat="1" ht="20.25" customHeight="1">
      <c r="C15" s="198">
        <f t="shared" si="0"/>
        <v>15</v>
      </c>
      <c r="D15" s="203">
        <f t="shared" si="1"/>
        <v>15</v>
      </c>
      <c r="E15" s="207" t="s">
        <v>24</v>
      </c>
      <c r="F15" s="208"/>
      <c r="G15" s="206"/>
      <c r="H15" s="206"/>
      <c r="I15" s="208"/>
      <c r="J15" s="208"/>
      <c r="K15" s="216"/>
      <c r="L15" s="208"/>
      <c r="M15" s="217"/>
      <c r="N15" s="208"/>
      <c r="O15" s="218"/>
      <c r="P15" s="208"/>
      <c r="Q15" s="208"/>
      <c r="R15" s="239"/>
      <c r="S15" s="217"/>
      <c r="T15" s="216"/>
      <c r="U15" s="196"/>
    </row>
    <row r="16" spans="3:21" s="185" customFormat="1" ht="20.25" customHeight="1">
      <c r="C16" s="198">
        <f t="shared" si="0"/>
        <v>16</v>
      </c>
      <c r="D16" s="203">
        <f t="shared" si="1"/>
        <v>16</v>
      </c>
      <c r="E16" s="207" t="s">
        <v>25</v>
      </c>
      <c r="F16" s="208"/>
      <c r="G16" s="206"/>
      <c r="H16" s="206"/>
      <c r="I16" s="208"/>
      <c r="J16" s="208"/>
      <c r="K16" s="216"/>
      <c r="L16" s="208"/>
      <c r="M16" s="217"/>
      <c r="N16" s="208"/>
      <c r="O16" s="218"/>
      <c r="P16" s="208"/>
      <c r="Q16" s="208"/>
      <c r="R16" s="239"/>
      <c r="S16" s="217"/>
      <c r="T16" s="216"/>
      <c r="U16" s="196"/>
    </row>
    <row r="17" spans="3:21" s="185" customFormat="1" ht="20.25" customHeight="1">
      <c r="C17" s="198">
        <f t="shared" si="0"/>
        <v>17</v>
      </c>
      <c r="D17" s="203">
        <f t="shared" si="1"/>
        <v>17</v>
      </c>
      <c r="E17" s="207" t="s">
        <v>26</v>
      </c>
      <c r="F17" s="208"/>
      <c r="G17" s="206"/>
      <c r="H17" s="206"/>
      <c r="I17" s="208"/>
      <c r="J17" s="208"/>
      <c r="K17" s="216"/>
      <c r="L17" s="208"/>
      <c r="M17" s="217"/>
      <c r="N17" s="208"/>
      <c r="O17" s="218"/>
      <c r="P17" s="208"/>
      <c r="Q17" s="208"/>
      <c r="R17" s="239"/>
      <c r="S17" s="217"/>
      <c r="T17" s="216"/>
      <c r="U17" s="196"/>
    </row>
    <row r="18" spans="3:21" s="185" customFormat="1" ht="20.25" customHeight="1">
      <c r="C18" s="198">
        <f t="shared" si="0"/>
        <v>18</v>
      </c>
      <c r="D18" s="203">
        <f t="shared" si="1"/>
        <v>18</v>
      </c>
      <c r="E18" s="207" t="s">
        <v>27</v>
      </c>
      <c r="F18" s="208"/>
      <c r="G18" s="206"/>
      <c r="H18" s="206"/>
      <c r="I18" s="208"/>
      <c r="J18" s="208"/>
      <c r="K18" s="216"/>
      <c r="L18" s="208"/>
      <c r="M18" s="217"/>
      <c r="N18" s="208"/>
      <c r="O18" s="218"/>
      <c r="P18" s="208"/>
      <c r="Q18" s="208"/>
      <c r="R18" s="239"/>
      <c r="S18" s="217"/>
      <c r="T18" s="216"/>
      <c r="U18" s="196"/>
    </row>
    <row r="19" spans="3:21" s="185" customFormat="1" ht="20.25" customHeight="1">
      <c r="C19" s="198">
        <f t="shared" si="0"/>
        <v>19</v>
      </c>
      <c r="D19" s="203">
        <f t="shared" si="1"/>
        <v>19</v>
      </c>
      <c r="E19" s="207" t="s">
        <v>28</v>
      </c>
      <c r="F19" s="208"/>
      <c r="G19" s="206"/>
      <c r="H19" s="206"/>
      <c r="I19" s="208"/>
      <c r="J19" s="208"/>
      <c r="K19" s="216"/>
      <c r="L19" s="208"/>
      <c r="M19" s="217"/>
      <c r="N19" s="208"/>
      <c r="O19" s="218"/>
      <c r="P19" s="208"/>
      <c r="Q19" s="208"/>
      <c r="R19" s="239"/>
      <c r="S19" s="217"/>
      <c r="T19" s="216"/>
      <c r="U19" s="196"/>
    </row>
    <row r="20" spans="3:21" s="185" customFormat="1" ht="20.25" customHeight="1">
      <c r="C20" s="198">
        <f t="shared" si="0"/>
        <v>20</v>
      </c>
      <c r="D20" s="203">
        <f t="shared" si="1"/>
        <v>20</v>
      </c>
      <c r="E20" s="207" t="s">
        <v>29</v>
      </c>
      <c r="F20" s="208"/>
      <c r="G20" s="206"/>
      <c r="H20" s="206"/>
      <c r="I20" s="208"/>
      <c r="J20" s="208"/>
      <c r="K20" s="216"/>
      <c r="L20" s="208"/>
      <c r="M20" s="217"/>
      <c r="N20" s="208"/>
      <c r="O20" s="218"/>
      <c r="P20" s="208"/>
      <c r="Q20" s="208"/>
      <c r="R20" s="239"/>
      <c r="S20" s="217"/>
      <c r="T20" s="216"/>
      <c r="U20" s="196"/>
    </row>
    <row r="21" spans="3:21" s="185" customFormat="1" ht="20.25" customHeight="1">
      <c r="C21" s="198">
        <f t="shared" si="0"/>
        <v>21</v>
      </c>
      <c r="D21" s="203">
        <f t="shared" si="1"/>
        <v>21</v>
      </c>
      <c r="E21" s="207" t="s">
        <v>30</v>
      </c>
      <c r="F21" s="208"/>
      <c r="G21" s="206"/>
      <c r="H21" s="206"/>
      <c r="I21" s="208"/>
      <c r="J21" s="208"/>
      <c r="K21" s="216"/>
      <c r="L21" s="208"/>
      <c r="M21" s="217"/>
      <c r="N21" s="208"/>
      <c r="O21" s="218"/>
      <c r="P21" s="208"/>
      <c r="Q21" s="208"/>
      <c r="R21" s="239"/>
      <c r="S21" s="217"/>
      <c r="T21" s="216"/>
      <c r="U21" s="196"/>
    </row>
    <row r="22" spans="3:21" s="185" customFormat="1" ht="20.25" customHeight="1">
      <c r="C22" s="198">
        <f t="shared" si="0"/>
        <v>22</v>
      </c>
      <c r="D22" s="203">
        <f t="shared" si="1"/>
        <v>22</v>
      </c>
      <c r="E22" s="207" t="s">
        <v>31</v>
      </c>
      <c r="F22" s="208"/>
      <c r="G22" s="206"/>
      <c r="H22" s="206"/>
      <c r="I22" s="208"/>
      <c r="J22" s="208"/>
      <c r="K22" s="216"/>
      <c r="L22" s="208"/>
      <c r="M22" s="217"/>
      <c r="N22" s="208"/>
      <c r="O22" s="218"/>
      <c r="P22" s="208"/>
      <c r="Q22" s="208"/>
      <c r="R22" s="239"/>
      <c r="S22" s="217"/>
      <c r="T22" s="216"/>
      <c r="U22" s="196"/>
    </row>
    <row r="23" spans="3:21" s="185" customFormat="1" ht="20.25" customHeight="1">
      <c r="C23" s="198">
        <f t="shared" si="0"/>
        <v>23</v>
      </c>
      <c r="D23" s="203">
        <f t="shared" si="1"/>
        <v>23</v>
      </c>
      <c r="E23" s="207" t="s">
        <v>32</v>
      </c>
      <c r="F23" s="208"/>
      <c r="G23" s="206"/>
      <c r="H23" s="206"/>
      <c r="I23" s="208"/>
      <c r="J23" s="208"/>
      <c r="K23" s="216"/>
      <c r="L23" s="208"/>
      <c r="M23" s="217"/>
      <c r="N23" s="208"/>
      <c r="O23" s="218"/>
      <c r="P23" s="208"/>
      <c r="Q23" s="208"/>
      <c r="R23" s="239"/>
      <c r="S23" s="217"/>
      <c r="T23" s="216"/>
      <c r="U23" s="196"/>
    </row>
    <row r="24" spans="3:21" s="185" customFormat="1" ht="20.25" customHeight="1">
      <c r="C24" s="198">
        <f t="shared" si="0"/>
        <v>24</v>
      </c>
      <c r="D24" s="203">
        <f t="shared" si="1"/>
        <v>24</v>
      </c>
      <c r="E24" s="207" t="s">
        <v>33</v>
      </c>
      <c r="F24" s="208"/>
      <c r="G24" s="206"/>
      <c r="H24" s="206"/>
      <c r="I24" s="208"/>
      <c r="J24" s="208"/>
      <c r="K24" s="216"/>
      <c r="L24" s="208"/>
      <c r="M24" s="217"/>
      <c r="N24" s="208"/>
      <c r="O24" s="218"/>
      <c r="P24" s="208"/>
      <c r="Q24" s="208"/>
      <c r="R24" s="239"/>
      <c r="S24" s="217"/>
      <c r="T24" s="216"/>
      <c r="U24" s="196"/>
    </row>
    <row r="25" spans="3:21" s="185" customFormat="1" ht="20.25" customHeight="1">
      <c r="C25" s="198">
        <f t="shared" si="0"/>
        <v>25</v>
      </c>
      <c r="D25" s="203">
        <f t="shared" si="1"/>
        <v>25</v>
      </c>
      <c r="E25" s="207" t="s">
        <v>34</v>
      </c>
      <c r="F25" s="208"/>
      <c r="G25" s="206"/>
      <c r="H25" s="206"/>
      <c r="I25" s="208"/>
      <c r="J25" s="208"/>
      <c r="K25" s="216"/>
      <c r="L25" s="208"/>
      <c r="M25" s="217"/>
      <c r="N25" s="208"/>
      <c r="O25" s="218"/>
      <c r="P25" s="208"/>
      <c r="Q25" s="208"/>
      <c r="R25" s="239"/>
      <c r="S25" s="217"/>
      <c r="T25" s="216"/>
      <c r="U25" s="196"/>
    </row>
    <row r="26" spans="3:21" s="185" customFormat="1" ht="20.25" customHeight="1">
      <c r="C26" s="198">
        <f t="shared" si="0"/>
        <v>26</v>
      </c>
      <c r="D26" s="203">
        <f t="shared" si="1"/>
        <v>26</v>
      </c>
      <c r="E26" s="209" t="s">
        <v>35</v>
      </c>
      <c r="F26" s="210">
        <f>D9</f>
        <v>9</v>
      </c>
      <c r="G26" s="206"/>
      <c r="H26" s="206"/>
      <c r="I26" s="208"/>
      <c r="J26" s="208"/>
      <c r="K26" s="216"/>
      <c r="L26" s="208"/>
      <c r="M26" s="217"/>
      <c r="N26" s="208"/>
      <c r="O26" s="218"/>
      <c r="P26" s="208"/>
      <c r="Q26" s="208"/>
      <c r="R26" s="239"/>
      <c r="S26" s="217"/>
      <c r="T26" s="216"/>
      <c r="U26" s="196"/>
    </row>
    <row r="27" spans="3:21" s="185" customFormat="1" ht="20.25" customHeight="1">
      <c r="C27" s="198"/>
      <c r="D27" s="203">
        <f t="shared" si="1"/>
        <v>27</v>
      </c>
      <c r="E27" s="207" t="s">
        <v>36</v>
      </c>
      <c r="F27" s="208"/>
      <c r="G27" s="206" t="s">
        <v>37</v>
      </c>
      <c r="H27" s="206"/>
      <c r="I27" s="219">
        <v>12</v>
      </c>
      <c r="J27" s="220" t="s">
        <v>38</v>
      </c>
      <c r="K27" s="221">
        <v>1</v>
      </c>
      <c r="L27" s="220" t="s">
        <v>39</v>
      </c>
      <c r="M27" s="222">
        <v>1</v>
      </c>
      <c r="N27" s="220" t="s">
        <v>40</v>
      </c>
      <c r="O27" s="223">
        <v>4</v>
      </c>
      <c r="P27" s="220" t="s">
        <v>41</v>
      </c>
      <c r="Q27" s="240">
        <f>M27*O27</f>
        <v>4</v>
      </c>
      <c r="R27" s="241"/>
      <c r="S27" s="240">
        <f t="shared" ref="S27:S90" si="2">ROUND(Q27+R27,2)</f>
        <v>4</v>
      </c>
      <c r="T27" s="216" t="s">
        <v>42</v>
      </c>
      <c r="U27" s="196" t="str">
        <f>CONCATENATE(S27," ",T27)</f>
        <v>4 Days</v>
      </c>
    </row>
    <row r="28" spans="3:21" s="185" customFormat="1" ht="20.25" customHeight="1">
      <c r="C28" s="198"/>
      <c r="D28" s="203">
        <f t="shared" si="1"/>
        <v>28</v>
      </c>
      <c r="E28" s="254" t="s">
        <v>1240</v>
      </c>
      <c r="F28" s="211">
        <f t="shared" ref="F28:F41" si="3">D27</f>
        <v>27</v>
      </c>
      <c r="G28" s="206" t="s">
        <v>44</v>
      </c>
      <c r="H28" s="206"/>
      <c r="I28" s="219">
        <v>12</v>
      </c>
      <c r="J28" s="252" t="s">
        <v>1241</v>
      </c>
      <c r="K28" s="226">
        <v>1</v>
      </c>
      <c r="L28" s="208" t="s">
        <v>39</v>
      </c>
      <c r="M28" s="227">
        <f>LEFT(J28,SEARCH(" ",J28,1)-1)*K28*0.001</f>
        <v>0.74</v>
      </c>
      <c r="N28" s="228" t="s">
        <v>46</v>
      </c>
      <c r="O28" s="229">
        <f>VLOOKUP(I28,BM!$A$2:$X$104,2,FALSE)</f>
        <v>0.1</v>
      </c>
      <c r="P28" s="230" t="s">
        <v>47</v>
      </c>
      <c r="Q28" s="240">
        <f t="shared" ref="Q28:Q91" si="4">M28*O28</f>
        <v>7.3999999999999996E-2</v>
      </c>
      <c r="R28" s="242">
        <v>1</v>
      </c>
      <c r="S28" s="240">
        <f t="shared" si="2"/>
        <v>1.07</v>
      </c>
      <c r="T28" s="243" t="s">
        <v>48</v>
      </c>
      <c r="U28" s="196" t="str">
        <f t="shared" ref="U28:U91" si="5">CONCATENATE(S28," ",T28)</f>
        <v>1.07 Hrs</v>
      </c>
    </row>
    <row r="29" spans="3:21" s="185" customFormat="1" ht="20.25" customHeight="1">
      <c r="C29" s="198"/>
      <c r="D29" s="203">
        <f t="shared" si="1"/>
        <v>29</v>
      </c>
      <c r="E29" s="207" t="s">
        <v>49</v>
      </c>
      <c r="F29" s="211">
        <f t="shared" si="3"/>
        <v>28</v>
      </c>
      <c r="G29" s="206" t="s">
        <v>44</v>
      </c>
      <c r="H29" s="206"/>
      <c r="I29" s="219">
        <v>12</v>
      </c>
      <c r="J29" s="211"/>
      <c r="K29" s="231">
        <v>1</v>
      </c>
      <c r="L29" s="208" t="s">
        <v>50</v>
      </c>
      <c r="M29" s="227">
        <v>1</v>
      </c>
      <c r="N29" s="208" t="s">
        <v>39</v>
      </c>
      <c r="O29" s="229">
        <v>1</v>
      </c>
      <c r="P29" s="208" t="s">
        <v>41</v>
      </c>
      <c r="Q29" s="240">
        <v>1</v>
      </c>
      <c r="R29" s="239"/>
      <c r="S29" s="240">
        <f t="shared" si="2"/>
        <v>1</v>
      </c>
      <c r="T29" s="216" t="s">
        <v>42</v>
      </c>
      <c r="U29" s="196" t="str">
        <f t="shared" si="5"/>
        <v>1 Days</v>
      </c>
    </row>
    <row r="30" spans="3:21" s="185" customFormat="1" ht="20.25" customHeight="1">
      <c r="C30" s="198"/>
      <c r="D30" s="203">
        <f t="shared" si="1"/>
        <v>30</v>
      </c>
      <c r="E30" s="207" t="s">
        <v>51</v>
      </c>
      <c r="F30" s="211">
        <f t="shared" si="3"/>
        <v>29</v>
      </c>
      <c r="G30" s="206" t="s">
        <v>52</v>
      </c>
      <c r="H30" s="206"/>
      <c r="I30" s="219">
        <v>12</v>
      </c>
      <c r="J30" s="211" t="str">
        <f>J28</f>
        <v>740 MM</v>
      </c>
      <c r="K30" s="231">
        <v>1</v>
      </c>
      <c r="L30" s="208" t="s">
        <v>50</v>
      </c>
      <c r="M30" s="227">
        <f>LEFT(J30,SEARCH(" ",J30,1)-1)*K30*0.001</f>
        <v>0.74</v>
      </c>
      <c r="N30" s="208" t="s">
        <v>46</v>
      </c>
      <c r="O30" s="229">
        <f>VLOOKUP(I30,BM!$A$2:$X$104,3,FALSE)</f>
        <v>0.25</v>
      </c>
      <c r="P30" s="230" t="s">
        <v>53</v>
      </c>
      <c r="Q30" s="240">
        <f t="shared" si="4"/>
        <v>0.185</v>
      </c>
      <c r="R30" s="242">
        <v>1</v>
      </c>
      <c r="S30" s="240">
        <f t="shared" si="2"/>
        <v>1.19</v>
      </c>
      <c r="T30" s="243" t="s">
        <v>48</v>
      </c>
      <c r="U30" s="196" t="str">
        <f t="shared" si="5"/>
        <v>1.19 Hrs</v>
      </c>
    </row>
    <row r="31" spans="3:21" s="185" customFormat="1" ht="20.25" customHeight="1">
      <c r="C31" s="198"/>
      <c r="D31" s="203">
        <f t="shared" si="1"/>
        <v>31</v>
      </c>
      <c r="E31" s="207" t="s">
        <v>54</v>
      </c>
      <c r="F31" s="211">
        <f t="shared" si="3"/>
        <v>30</v>
      </c>
      <c r="G31" s="206" t="s">
        <v>55</v>
      </c>
      <c r="H31" s="206"/>
      <c r="I31" s="219">
        <v>12</v>
      </c>
      <c r="J31" s="211" t="str">
        <f>J30</f>
        <v>740 MM</v>
      </c>
      <c r="K31" s="231">
        <v>1</v>
      </c>
      <c r="L31" s="208" t="s">
        <v>50</v>
      </c>
      <c r="M31" s="227">
        <v>1</v>
      </c>
      <c r="N31" s="208" t="s">
        <v>39</v>
      </c>
      <c r="O31" s="232">
        <v>10</v>
      </c>
      <c r="P31" s="230" t="s">
        <v>41</v>
      </c>
      <c r="Q31" s="240">
        <f t="shared" si="4"/>
        <v>10</v>
      </c>
      <c r="R31" s="242"/>
      <c r="S31" s="240">
        <f t="shared" si="2"/>
        <v>10</v>
      </c>
      <c r="T31" s="216" t="s">
        <v>42</v>
      </c>
      <c r="U31" s="196" t="str">
        <f t="shared" si="5"/>
        <v>10 Days</v>
      </c>
    </row>
    <row r="32" spans="3:21" s="185" customFormat="1" ht="20.25" customHeight="1">
      <c r="C32" s="198"/>
      <c r="D32" s="203">
        <f t="shared" si="1"/>
        <v>32</v>
      </c>
      <c r="E32" s="207" t="s">
        <v>56</v>
      </c>
      <c r="F32" s="211">
        <f t="shared" si="3"/>
        <v>31</v>
      </c>
      <c r="G32" s="206" t="s">
        <v>44</v>
      </c>
      <c r="H32" s="206"/>
      <c r="I32" s="219">
        <v>12</v>
      </c>
      <c r="J32" s="211" t="str">
        <f t="shared" ref="J32:J38" si="6">J31</f>
        <v>740 MM</v>
      </c>
      <c r="K32" s="231">
        <v>1</v>
      </c>
      <c r="L32" s="208" t="s">
        <v>50</v>
      </c>
      <c r="M32" s="217">
        <v>1</v>
      </c>
      <c r="N32" s="208" t="s">
        <v>39</v>
      </c>
      <c r="O32" s="232">
        <v>1</v>
      </c>
      <c r="P32" s="230" t="s">
        <v>41</v>
      </c>
      <c r="Q32" s="240">
        <f t="shared" si="4"/>
        <v>1</v>
      </c>
      <c r="R32" s="242"/>
      <c r="S32" s="240">
        <f t="shared" si="2"/>
        <v>1</v>
      </c>
      <c r="T32" s="216" t="s">
        <v>42</v>
      </c>
      <c r="U32" s="196" t="str">
        <f t="shared" si="5"/>
        <v>1 Days</v>
      </c>
    </row>
    <row r="33" spans="3:21" s="185" customFormat="1" ht="20.25" customHeight="1">
      <c r="C33" s="198"/>
      <c r="D33" s="203">
        <f t="shared" si="1"/>
        <v>33</v>
      </c>
      <c r="E33" s="207" t="s">
        <v>57</v>
      </c>
      <c r="F33" s="211">
        <f t="shared" si="3"/>
        <v>32</v>
      </c>
      <c r="G33" s="206" t="s">
        <v>55</v>
      </c>
      <c r="H33" s="206"/>
      <c r="I33" s="219">
        <v>12</v>
      </c>
      <c r="J33" s="211" t="str">
        <f t="shared" si="6"/>
        <v>740 MM</v>
      </c>
      <c r="K33" s="231">
        <v>1</v>
      </c>
      <c r="L33" s="208" t="s">
        <v>50</v>
      </c>
      <c r="M33" s="217">
        <v>1</v>
      </c>
      <c r="N33" s="208" t="s">
        <v>39</v>
      </c>
      <c r="O33" s="232">
        <v>1</v>
      </c>
      <c r="P33" s="230" t="s">
        <v>41</v>
      </c>
      <c r="Q33" s="240">
        <f t="shared" si="4"/>
        <v>1</v>
      </c>
      <c r="R33" s="242"/>
      <c r="S33" s="240">
        <f t="shared" si="2"/>
        <v>1</v>
      </c>
      <c r="T33" s="216" t="s">
        <v>42</v>
      </c>
      <c r="U33" s="196" t="str">
        <f t="shared" si="5"/>
        <v>1 Days</v>
      </c>
    </row>
    <row r="34" spans="3:21" s="185" customFormat="1" ht="20.25" customHeight="1">
      <c r="C34" s="198"/>
      <c r="D34" s="203">
        <f t="shared" si="1"/>
        <v>34</v>
      </c>
      <c r="E34" s="207" t="s">
        <v>58</v>
      </c>
      <c r="F34" s="211">
        <f t="shared" si="3"/>
        <v>33</v>
      </c>
      <c r="G34" s="206" t="s">
        <v>55</v>
      </c>
      <c r="H34" s="206"/>
      <c r="I34" s="219">
        <v>12</v>
      </c>
      <c r="J34" s="211" t="str">
        <f t="shared" si="6"/>
        <v>740 MM</v>
      </c>
      <c r="K34" s="231">
        <v>1</v>
      </c>
      <c r="L34" s="208" t="s">
        <v>50</v>
      </c>
      <c r="M34" s="217">
        <v>1</v>
      </c>
      <c r="N34" s="208" t="s">
        <v>39</v>
      </c>
      <c r="O34" s="232">
        <v>4</v>
      </c>
      <c r="P34" s="230" t="s">
        <v>41</v>
      </c>
      <c r="Q34" s="240">
        <f t="shared" si="4"/>
        <v>4</v>
      </c>
      <c r="R34" s="242"/>
      <c r="S34" s="240">
        <f t="shared" si="2"/>
        <v>4</v>
      </c>
      <c r="T34" s="216" t="s">
        <v>42</v>
      </c>
      <c r="U34" s="196" t="str">
        <f t="shared" si="5"/>
        <v>4 Days</v>
      </c>
    </row>
    <row r="35" spans="3:21" s="185" customFormat="1" ht="20.25" customHeight="1">
      <c r="C35" s="198"/>
      <c r="D35" s="203">
        <f t="shared" si="1"/>
        <v>35</v>
      </c>
      <c r="E35" s="207" t="s">
        <v>59</v>
      </c>
      <c r="F35" s="211">
        <f t="shared" si="3"/>
        <v>34</v>
      </c>
      <c r="G35" s="206" t="s">
        <v>44</v>
      </c>
      <c r="H35" s="206"/>
      <c r="I35" s="219">
        <v>12</v>
      </c>
      <c r="J35" s="211" t="str">
        <f t="shared" si="6"/>
        <v>740 MM</v>
      </c>
      <c r="K35" s="231">
        <v>1</v>
      </c>
      <c r="L35" s="208" t="s">
        <v>50</v>
      </c>
      <c r="M35" s="217">
        <v>1</v>
      </c>
      <c r="N35" s="208" t="s">
        <v>39</v>
      </c>
      <c r="O35" s="232">
        <v>1</v>
      </c>
      <c r="P35" s="230" t="s">
        <v>41</v>
      </c>
      <c r="Q35" s="240">
        <f t="shared" si="4"/>
        <v>1</v>
      </c>
      <c r="R35" s="242"/>
      <c r="S35" s="240">
        <f t="shared" si="2"/>
        <v>1</v>
      </c>
      <c r="T35" s="216" t="s">
        <v>42</v>
      </c>
      <c r="U35" s="196" t="str">
        <f t="shared" si="5"/>
        <v>1 Days</v>
      </c>
    </row>
    <row r="36" spans="3:21" s="185" customFormat="1" ht="20.25" customHeight="1">
      <c r="C36" s="198"/>
      <c r="D36" s="203">
        <f t="shared" si="1"/>
        <v>36</v>
      </c>
      <c r="E36" s="207" t="s">
        <v>60</v>
      </c>
      <c r="F36" s="211">
        <f t="shared" si="3"/>
        <v>35</v>
      </c>
      <c r="G36" s="206" t="s">
        <v>61</v>
      </c>
      <c r="H36" s="206"/>
      <c r="I36" s="219">
        <v>12</v>
      </c>
      <c r="J36" s="211" t="str">
        <f t="shared" si="6"/>
        <v>740 MM</v>
      </c>
      <c r="K36" s="231">
        <v>1</v>
      </c>
      <c r="L36" s="208" t="s">
        <v>50</v>
      </c>
      <c r="M36" s="217">
        <v>1</v>
      </c>
      <c r="N36" s="208" t="s">
        <v>39</v>
      </c>
      <c r="O36" s="232">
        <v>1</v>
      </c>
      <c r="P36" s="230" t="s">
        <v>41</v>
      </c>
      <c r="Q36" s="240">
        <f t="shared" si="4"/>
        <v>1</v>
      </c>
      <c r="R36" s="242">
        <v>1</v>
      </c>
      <c r="S36" s="240">
        <f t="shared" si="2"/>
        <v>2</v>
      </c>
      <c r="T36" s="216" t="s">
        <v>42</v>
      </c>
      <c r="U36" s="196" t="str">
        <f t="shared" si="5"/>
        <v>2 Days</v>
      </c>
    </row>
    <row r="37" spans="3:21" s="185" customFormat="1" ht="20.25" customHeight="1">
      <c r="C37" s="198"/>
      <c r="D37" s="203">
        <f t="shared" si="1"/>
        <v>37</v>
      </c>
      <c r="E37" s="207" t="s">
        <v>62</v>
      </c>
      <c r="F37" s="211">
        <f t="shared" si="3"/>
        <v>36</v>
      </c>
      <c r="G37" s="206" t="s">
        <v>63</v>
      </c>
      <c r="H37" s="206"/>
      <c r="I37" s="219">
        <v>12</v>
      </c>
      <c r="J37" s="211" t="str">
        <f t="shared" si="6"/>
        <v>740 MM</v>
      </c>
      <c r="K37" s="231">
        <v>1</v>
      </c>
      <c r="L37" s="208" t="s">
        <v>50</v>
      </c>
      <c r="M37" s="217">
        <v>1</v>
      </c>
      <c r="N37" s="208" t="s">
        <v>39</v>
      </c>
      <c r="O37" s="232">
        <v>1</v>
      </c>
      <c r="P37" s="230" t="s">
        <v>41</v>
      </c>
      <c r="Q37" s="240">
        <f t="shared" si="4"/>
        <v>1</v>
      </c>
      <c r="R37" s="242"/>
      <c r="S37" s="240">
        <f t="shared" si="2"/>
        <v>1</v>
      </c>
      <c r="T37" s="216" t="s">
        <v>42</v>
      </c>
      <c r="U37" s="196" t="str">
        <f t="shared" si="5"/>
        <v>1 Days</v>
      </c>
    </row>
    <row r="38" spans="3:21" s="185" customFormat="1" ht="20.25" customHeight="1">
      <c r="C38" s="198"/>
      <c r="D38" s="203">
        <f t="shared" si="1"/>
        <v>38</v>
      </c>
      <c r="E38" s="207" t="s">
        <v>64</v>
      </c>
      <c r="F38" s="211">
        <f t="shared" si="3"/>
        <v>37</v>
      </c>
      <c r="G38" s="206" t="s">
        <v>63</v>
      </c>
      <c r="H38" s="206"/>
      <c r="I38" s="219">
        <v>12</v>
      </c>
      <c r="J38" s="211" t="str">
        <f t="shared" si="6"/>
        <v>740 MM</v>
      </c>
      <c r="K38" s="231">
        <v>1</v>
      </c>
      <c r="L38" s="208" t="s">
        <v>50</v>
      </c>
      <c r="M38" s="217">
        <v>1</v>
      </c>
      <c r="N38" s="208" t="s">
        <v>39</v>
      </c>
      <c r="O38" s="232">
        <v>1</v>
      </c>
      <c r="P38" s="230" t="s">
        <v>41</v>
      </c>
      <c r="Q38" s="240">
        <f t="shared" si="4"/>
        <v>1</v>
      </c>
      <c r="R38" s="242"/>
      <c r="S38" s="240">
        <f t="shared" si="2"/>
        <v>1</v>
      </c>
      <c r="T38" s="216" t="s">
        <v>42</v>
      </c>
      <c r="U38" s="196" t="str">
        <f t="shared" si="5"/>
        <v>1 Days</v>
      </c>
    </row>
    <row r="39" spans="3:21" s="185" customFormat="1" ht="20.25" customHeight="1">
      <c r="C39" s="198"/>
      <c r="D39" s="203">
        <f t="shared" si="1"/>
        <v>39</v>
      </c>
      <c r="E39" s="207" t="s">
        <v>65</v>
      </c>
      <c r="F39" s="211">
        <f t="shared" si="3"/>
        <v>38</v>
      </c>
      <c r="G39" s="206" t="s">
        <v>44</v>
      </c>
      <c r="H39" s="206" t="s">
        <v>66</v>
      </c>
      <c r="I39" s="219">
        <v>12</v>
      </c>
      <c r="J39" s="252" t="s">
        <v>1242</v>
      </c>
      <c r="K39" s="231">
        <v>1</v>
      </c>
      <c r="L39" s="208" t="s">
        <v>50</v>
      </c>
      <c r="M39" s="227">
        <f>LEFT(J39,SEARCH(" ",J39,1)-1)*K39*0.001*3.142</f>
        <v>7.2988659999999994</v>
      </c>
      <c r="N39" s="208" t="s">
        <v>68</v>
      </c>
      <c r="O39" s="229">
        <f>VLOOKUP(I39,BM!$A$2:$X$104,2,FALSE)</f>
        <v>0.1</v>
      </c>
      <c r="P39" s="230" t="s">
        <v>53</v>
      </c>
      <c r="Q39" s="240">
        <f t="shared" si="4"/>
        <v>0.72988659999999994</v>
      </c>
      <c r="R39" s="242">
        <v>1</v>
      </c>
      <c r="S39" s="240">
        <f t="shared" si="2"/>
        <v>1.73</v>
      </c>
      <c r="T39" s="243" t="s">
        <v>48</v>
      </c>
      <c r="U39" s="196" t="str">
        <f t="shared" si="5"/>
        <v>1.73 Hrs</v>
      </c>
    </row>
    <row r="40" spans="3:21" s="185" customFormat="1" ht="20.25" customHeight="1">
      <c r="C40" s="198"/>
      <c r="D40" s="203">
        <f t="shared" si="1"/>
        <v>40</v>
      </c>
      <c r="E40" s="207" t="s">
        <v>69</v>
      </c>
      <c r="F40" s="211">
        <f t="shared" si="3"/>
        <v>39</v>
      </c>
      <c r="G40" s="206" t="s">
        <v>52</v>
      </c>
      <c r="H40" s="206"/>
      <c r="I40" s="219">
        <v>12</v>
      </c>
      <c r="J40" s="211" t="str">
        <f>J39</f>
        <v>2323 mm</v>
      </c>
      <c r="K40" s="231">
        <v>1</v>
      </c>
      <c r="L40" s="208" t="s">
        <v>50</v>
      </c>
      <c r="M40" s="227">
        <f>LEFT(J40,SEARCH(" ",J40,1)-1)*K40*0.001*3.142</f>
        <v>7.2988659999999994</v>
      </c>
      <c r="N40" s="208" t="s">
        <v>68</v>
      </c>
      <c r="O40" s="229">
        <f>VLOOKUP(I40,BM!$A$2:$X$104,15,FALSE)</f>
        <v>1</v>
      </c>
      <c r="P40" s="230" t="s">
        <v>53</v>
      </c>
      <c r="Q40" s="240">
        <f t="shared" si="4"/>
        <v>7.2988659999999994</v>
      </c>
      <c r="R40" s="242">
        <v>1</v>
      </c>
      <c r="S40" s="240">
        <f t="shared" si="2"/>
        <v>8.3000000000000007</v>
      </c>
      <c r="T40" s="243" t="s">
        <v>48</v>
      </c>
      <c r="U40" s="196" t="str">
        <f t="shared" si="5"/>
        <v>8.3 Hrs</v>
      </c>
    </row>
    <row r="41" spans="3:21" s="185" customFormat="1" ht="20.25" customHeight="1">
      <c r="C41" s="198"/>
      <c r="D41" s="203">
        <f t="shared" si="1"/>
        <v>41</v>
      </c>
      <c r="E41" s="207" t="s">
        <v>70</v>
      </c>
      <c r="F41" s="211">
        <f t="shared" si="3"/>
        <v>40</v>
      </c>
      <c r="G41" s="206" t="s">
        <v>61</v>
      </c>
      <c r="H41" s="206"/>
      <c r="I41" s="219">
        <v>12</v>
      </c>
      <c r="J41" s="211" t="str">
        <f>J40</f>
        <v>2323 mm</v>
      </c>
      <c r="K41" s="231">
        <v>1</v>
      </c>
      <c r="L41" s="208" t="s">
        <v>50</v>
      </c>
      <c r="M41" s="227">
        <f>LEFT(J41,SEARCH(" ",J41,1)-1)*K41*0.001*3.142</f>
        <v>7.2988659999999994</v>
      </c>
      <c r="N41" s="208" t="s">
        <v>68</v>
      </c>
      <c r="O41" s="229">
        <f>VLOOKUP(I41,BM!$A$2:$X$104,6,FALSE)</f>
        <v>1</v>
      </c>
      <c r="P41" s="230" t="s">
        <v>53</v>
      </c>
      <c r="Q41" s="240">
        <f t="shared" si="4"/>
        <v>7.2988659999999994</v>
      </c>
      <c r="R41" s="242"/>
      <c r="S41" s="240">
        <f t="shared" si="2"/>
        <v>7.3</v>
      </c>
      <c r="T41" s="243" t="s">
        <v>48</v>
      </c>
      <c r="U41" s="196" t="str">
        <f t="shared" si="5"/>
        <v>7.3 Hrs</v>
      </c>
    </row>
    <row r="42" spans="3:21" s="185" customFormat="1" ht="20.25" customHeight="1">
      <c r="C42" s="198">
        <f t="shared" ref="C42:C43" si="7">D42</f>
        <v>42</v>
      </c>
      <c r="D42" s="203">
        <f t="shared" si="1"/>
        <v>42</v>
      </c>
      <c r="E42" s="204" t="s">
        <v>71</v>
      </c>
      <c r="F42" s="205"/>
      <c r="G42" s="206"/>
      <c r="H42" s="206"/>
      <c r="I42" s="208"/>
      <c r="J42" s="208"/>
      <c r="K42" s="231"/>
      <c r="L42" s="208"/>
      <c r="M42" s="217"/>
      <c r="N42" s="208"/>
      <c r="O42" s="232"/>
      <c r="P42" s="230"/>
      <c r="Q42" s="240"/>
      <c r="R42" s="242"/>
      <c r="S42" s="240"/>
      <c r="T42" s="243"/>
      <c r="U42" s="196"/>
    </row>
    <row r="43" spans="3:21" s="185" customFormat="1" ht="20.25" customHeight="1">
      <c r="C43" s="198">
        <f t="shared" si="7"/>
        <v>43</v>
      </c>
      <c r="D43" s="203">
        <f t="shared" si="1"/>
        <v>43</v>
      </c>
      <c r="E43" s="209" t="s">
        <v>72</v>
      </c>
      <c r="F43" s="210">
        <f>D10</f>
        <v>10</v>
      </c>
      <c r="G43" s="206"/>
      <c r="H43" s="206"/>
      <c r="I43" s="208"/>
      <c r="J43" s="208"/>
      <c r="K43" s="231"/>
      <c r="L43" s="208"/>
      <c r="M43" s="217"/>
      <c r="N43" s="208"/>
      <c r="O43" s="232"/>
      <c r="P43" s="230"/>
      <c r="Q43" s="240"/>
      <c r="R43" s="242"/>
      <c r="S43" s="240"/>
      <c r="T43" s="243"/>
      <c r="U43" s="196"/>
    </row>
    <row r="44" spans="3:21" s="185" customFormat="1" ht="20.25" customHeight="1">
      <c r="C44" s="198"/>
      <c r="D44" s="203">
        <f t="shared" si="1"/>
        <v>44</v>
      </c>
      <c r="E44" s="207" t="s">
        <v>73</v>
      </c>
      <c r="F44" s="208"/>
      <c r="G44" s="206"/>
      <c r="H44" s="206" t="s">
        <v>66</v>
      </c>
      <c r="I44" s="255" t="s">
        <v>1244</v>
      </c>
      <c r="J44" s="208"/>
      <c r="K44" s="231">
        <v>1</v>
      </c>
      <c r="L44" s="208" t="s">
        <v>39</v>
      </c>
      <c r="M44" s="217">
        <v>1</v>
      </c>
      <c r="N44" s="208" t="s">
        <v>50</v>
      </c>
      <c r="O44" s="232">
        <v>2</v>
      </c>
      <c r="P44" s="230" t="s">
        <v>41</v>
      </c>
      <c r="Q44" s="240">
        <f t="shared" si="4"/>
        <v>2</v>
      </c>
      <c r="R44" s="242"/>
      <c r="S44" s="240">
        <f t="shared" si="2"/>
        <v>2</v>
      </c>
      <c r="T44" s="216" t="s">
        <v>42</v>
      </c>
      <c r="U44" s="196" t="str">
        <f t="shared" si="5"/>
        <v>2 Days</v>
      </c>
    </row>
    <row r="45" spans="3:21" s="185" customFormat="1" ht="20.25" customHeight="1">
      <c r="C45" s="198"/>
      <c r="D45" s="203">
        <f t="shared" si="1"/>
        <v>45</v>
      </c>
      <c r="E45" s="207" t="s">
        <v>75</v>
      </c>
      <c r="F45" s="211">
        <f>D44</f>
        <v>44</v>
      </c>
      <c r="G45" s="206" t="s">
        <v>55</v>
      </c>
      <c r="H45" s="206"/>
      <c r="I45" s="233" t="str">
        <f>I44</f>
        <v>60 t</v>
      </c>
      <c r="J45" s="208"/>
      <c r="K45" s="231">
        <v>1</v>
      </c>
      <c r="L45" s="208" t="s">
        <v>39</v>
      </c>
      <c r="M45" s="217">
        <v>1</v>
      </c>
      <c r="N45" s="208" t="s">
        <v>50</v>
      </c>
      <c r="O45" s="232">
        <v>5</v>
      </c>
      <c r="P45" s="230" t="s">
        <v>41</v>
      </c>
      <c r="Q45" s="240">
        <f t="shared" si="4"/>
        <v>5</v>
      </c>
      <c r="R45" s="242"/>
      <c r="S45" s="240">
        <f t="shared" si="2"/>
        <v>5</v>
      </c>
      <c r="T45" s="216" t="s">
        <v>42</v>
      </c>
      <c r="U45" s="196" t="str">
        <f t="shared" si="5"/>
        <v>5 Days</v>
      </c>
    </row>
    <row r="46" spans="3:21" s="185" customFormat="1" ht="20.25" customHeight="1">
      <c r="C46" s="198">
        <f>D46</f>
        <v>46</v>
      </c>
      <c r="D46" s="203">
        <f t="shared" si="1"/>
        <v>46</v>
      </c>
      <c r="E46" s="209" t="s">
        <v>76</v>
      </c>
      <c r="F46" s="210">
        <f>D43</f>
        <v>43</v>
      </c>
      <c r="G46" s="206"/>
      <c r="H46" s="206"/>
      <c r="I46" s="208"/>
      <c r="J46" s="208"/>
      <c r="K46" s="231"/>
      <c r="L46" s="208"/>
      <c r="M46" s="217"/>
      <c r="N46" s="208"/>
      <c r="O46" s="232"/>
      <c r="P46" s="230"/>
      <c r="Q46" s="240"/>
      <c r="R46" s="242"/>
      <c r="S46" s="240"/>
      <c r="T46" s="243"/>
      <c r="U46" s="196"/>
    </row>
    <row r="47" spans="3:21" s="185" customFormat="1" ht="20.25" customHeight="1">
      <c r="C47" s="198"/>
      <c r="D47" s="203">
        <f t="shared" si="1"/>
        <v>47</v>
      </c>
      <c r="E47" s="207" t="s">
        <v>77</v>
      </c>
      <c r="F47" s="211"/>
      <c r="G47" s="206" t="s">
        <v>55</v>
      </c>
      <c r="H47" s="206"/>
      <c r="I47" s="224" t="str">
        <f>I44</f>
        <v>60 t</v>
      </c>
      <c r="J47" s="253" t="s">
        <v>1243</v>
      </c>
      <c r="K47" s="231">
        <v>1</v>
      </c>
      <c r="L47" s="208" t="s">
        <v>39</v>
      </c>
      <c r="M47" s="227">
        <f>LEFT(J47,SEARCH(" ",J47,1)-1)*LEFT(I47,SEARCH(" ",I47,1)-1)*K47/1000</f>
        <v>12.72</v>
      </c>
      <c r="N47" s="208" t="s">
        <v>79</v>
      </c>
      <c r="O47" s="229">
        <f>1/1.5^1</f>
        <v>0.66666666666666663</v>
      </c>
      <c r="P47" s="230" t="s">
        <v>47</v>
      </c>
      <c r="Q47" s="240">
        <f>M47*O47/24</f>
        <v>0.35333333333333333</v>
      </c>
      <c r="R47" s="242"/>
      <c r="S47" s="240">
        <f t="shared" si="2"/>
        <v>0.35</v>
      </c>
      <c r="T47" s="216" t="s">
        <v>42</v>
      </c>
      <c r="U47" s="196" t="str">
        <f t="shared" si="5"/>
        <v>0.35 Days</v>
      </c>
    </row>
    <row r="48" spans="3:21" s="185" customFormat="1" ht="20.25" customHeight="1">
      <c r="C48" s="198"/>
      <c r="D48" s="203">
        <f t="shared" si="1"/>
        <v>48</v>
      </c>
      <c r="E48" s="207" t="s">
        <v>80</v>
      </c>
      <c r="F48" s="211">
        <f t="shared" ref="F48:F52" si="8">D47</f>
        <v>47</v>
      </c>
      <c r="G48" s="206" t="s">
        <v>55</v>
      </c>
      <c r="H48" s="206"/>
      <c r="I48" s="224" t="str">
        <f>I44</f>
        <v>60 t</v>
      </c>
      <c r="J48" s="208" t="str">
        <f>J47</f>
        <v>212 holes</v>
      </c>
      <c r="K48" s="231">
        <v>1</v>
      </c>
      <c r="L48" s="208" t="s">
        <v>40</v>
      </c>
      <c r="M48" s="227" t="str">
        <f>LEFT(J48,SEARCH(" ",J48,1)-1)</f>
        <v>212</v>
      </c>
      <c r="N48" s="208" t="s">
        <v>81</v>
      </c>
      <c r="O48" s="229">
        <f>1/60*5</f>
        <v>8.3333333333333329E-2</v>
      </c>
      <c r="P48" s="230" t="s">
        <v>47</v>
      </c>
      <c r="Q48" s="240">
        <f>M48*O48/24</f>
        <v>0.73611111111111105</v>
      </c>
      <c r="R48" s="242"/>
      <c r="S48" s="240">
        <f t="shared" si="2"/>
        <v>0.74</v>
      </c>
      <c r="T48" s="216" t="s">
        <v>42</v>
      </c>
      <c r="U48" s="196" t="str">
        <f t="shared" si="5"/>
        <v>0.74 Days</v>
      </c>
    </row>
    <row r="49" spans="3:21" s="185" customFormat="1" ht="20.25" customHeight="1">
      <c r="C49" s="198"/>
      <c r="D49" s="203">
        <f t="shared" si="1"/>
        <v>49</v>
      </c>
      <c r="E49" s="207" t="s">
        <v>82</v>
      </c>
      <c r="F49" s="211">
        <f t="shared" si="8"/>
        <v>48</v>
      </c>
      <c r="G49" s="206" t="s">
        <v>55</v>
      </c>
      <c r="H49" s="206"/>
      <c r="I49" s="224" t="str">
        <f>I44</f>
        <v>60 t</v>
      </c>
      <c r="J49" s="208"/>
      <c r="K49" s="231">
        <v>1</v>
      </c>
      <c r="L49" s="208" t="s">
        <v>83</v>
      </c>
      <c r="M49" s="235">
        <v>1</v>
      </c>
      <c r="N49" s="208" t="s">
        <v>84</v>
      </c>
      <c r="O49" s="229">
        <v>1</v>
      </c>
      <c r="P49" s="230" t="s">
        <v>41</v>
      </c>
      <c r="Q49" s="240">
        <f>M49*O49</f>
        <v>1</v>
      </c>
      <c r="R49" s="242"/>
      <c r="S49" s="240">
        <f t="shared" si="2"/>
        <v>1</v>
      </c>
      <c r="T49" s="216" t="s">
        <v>42</v>
      </c>
      <c r="U49" s="196" t="str">
        <f t="shared" si="5"/>
        <v>1 Days</v>
      </c>
    </row>
    <row r="50" spans="3:21" s="185" customFormat="1" ht="20.25" customHeight="1">
      <c r="C50" s="198"/>
      <c r="D50" s="203">
        <f t="shared" si="1"/>
        <v>50</v>
      </c>
      <c r="E50" s="207" t="s">
        <v>85</v>
      </c>
      <c r="F50" s="211">
        <f t="shared" si="8"/>
        <v>49</v>
      </c>
      <c r="G50" s="206" t="s">
        <v>55</v>
      </c>
      <c r="H50" s="206"/>
      <c r="I50" s="224" t="str">
        <f>I44</f>
        <v>60 t</v>
      </c>
      <c r="J50" s="208"/>
      <c r="K50" s="231">
        <v>1</v>
      </c>
      <c r="L50" s="208" t="s">
        <v>83</v>
      </c>
      <c r="M50" s="217">
        <v>1</v>
      </c>
      <c r="N50" s="208" t="s">
        <v>84</v>
      </c>
      <c r="O50" s="232">
        <v>4</v>
      </c>
      <c r="P50" s="230" t="s">
        <v>41</v>
      </c>
      <c r="Q50" s="240">
        <f t="shared" si="4"/>
        <v>4</v>
      </c>
      <c r="R50" s="242"/>
      <c r="S50" s="240">
        <f t="shared" si="2"/>
        <v>4</v>
      </c>
      <c r="T50" s="216" t="s">
        <v>42</v>
      </c>
      <c r="U50" s="196" t="str">
        <f t="shared" si="5"/>
        <v>4 Days</v>
      </c>
    </row>
    <row r="51" spans="3:21" s="185" customFormat="1" ht="20.25" customHeight="1">
      <c r="C51" s="198"/>
      <c r="D51" s="203">
        <f t="shared" si="1"/>
        <v>51</v>
      </c>
      <c r="E51" s="207" t="s">
        <v>86</v>
      </c>
      <c r="F51" s="211">
        <f t="shared" si="8"/>
        <v>50</v>
      </c>
      <c r="G51" s="206" t="s">
        <v>44</v>
      </c>
      <c r="H51" s="206"/>
      <c r="I51" s="224" t="str">
        <f>I44</f>
        <v>60 t</v>
      </c>
      <c r="J51" s="208" t="str">
        <f>J48</f>
        <v>212 holes</v>
      </c>
      <c r="K51" s="231">
        <v>1</v>
      </c>
      <c r="L51" s="208" t="s">
        <v>40</v>
      </c>
      <c r="M51" s="227" t="str">
        <f>LEFT(J51,SEARCH(" ",J51,1)-1)</f>
        <v>212</v>
      </c>
      <c r="N51" s="208" t="s">
        <v>40</v>
      </c>
      <c r="O51" s="229">
        <f>1/60*3</f>
        <v>0.05</v>
      </c>
      <c r="P51" s="230" t="s">
        <v>87</v>
      </c>
      <c r="Q51" s="240">
        <f t="shared" si="4"/>
        <v>10.600000000000001</v>
      </c>
      <c r="R51" s="242"/>
      <c r="S51" s="240">
        <f t="shared" si="2"/>
        <v>10.6</v>
      </c>
      <c r="T51" s="243" t="s">
        <v>48</v>
      </c>
      <c r="U51" s="196" t="str">
        <f t="shared" si="5"/>
        <v>10.6 Hrs</v>
      </c>
    </row>
    <row r="52" spans="3:21" s="185" customFormat="1" ht="20.25" customHeight="1">
      <c r="C52" s="198"/>
      <c r="D52" s="203">
        <f t="shared" si="1"/>
        <v>52</v>
      </c>
      <c r="E52" s="207" t="s">
        <v>88</v>
      </c>
      <c r="F52" s="211">
        <f t="shared" si="8"/>
        <v>51</v>
      </c>
      <c r="G52" s="206" t="s">
        <v>44</v>
      </c>
      <c r="H52" s="206"/>
      <c r="I52" s="208"/>
      <c r="J52" s="208"/>
      <c r="K52" s="231"/>
      <c r="L52" s="208"/>
      <c r="M52" s="217"/>
      <c r="N52" s="208"/>
      <c r="O52" s="232"/>
      <c r="P52" s="230"/>
      <c r="Q52" s="240"/>
      <c r="R52" s="242"/>
      <c r="S52" s="240"/>
      <c r="T52" s="243"/>
      <c r="U52" s="196"/>
    </row>
    <row r="53" spans="3:21" s="185" customFormat="1" ht="20.25" customHeight="1">
      <c r="C53" s="198">
        <f>D53</f>
        <v>53</v>
      </c>
      <c r="D53" s="203">
        <f t="shared" si="1"/>
        <v>53</v>
      </c>
      <c r="E53" s="209" t="s">
        <v>89</v>
      </c>
      <c r="F53" s="210">
        <f>D10</f>
        <v>10</v>
      </c>
      <c r="G53" s="206"/>
      <c r="H53" s="206"/>
      <c r="I53" s="208"/>
      <c r="J53" s="208"/>
      <c r="K53" s="231"/>
      <c r="L53" s="208"/>
      <c r="M53" s="217"/>
      <c r="N53" s="208"/>
      <c r="O53" s="232"/>
      <c r="P53" s="230"/>
      <c r="Q53" s="240"/>
      <c r="R53" s="242"/>
      <c r="S53" s="240"/>
      <c r="T53" s="243"/>
      <c r="U53" s="196"/>
    </row>
    <row r="54" spans="3:21" s="185" customFormat="1" ht="20.25" customHeight="1">
      <c r="C54" s="198"/>
      <c r="D54" s="203">
        <f t="shared" si="1"/>
        <v>54</v>
      </c>
      <c r="E54" s="207" t="s">
        <v>73</v>
      </c>
      <c r="F54" s="211"/>
      <c r="G54" s="206"/>
      <c r="H54" s="206"/>
      <c r="I54" s="255" t="s">
        <v>1244</v>
      </c>
      <c r="J54" s="253" t="s">
        <v>1245</v>
      </c>
      <c r="K54" s="231">
        <v>1</v>
      </c>
      <c r="L54" s="208" t="s">
        <v>39</v>
      </c>
      <c r="M54" s="217">
        <v>1</v>
      </c>
      <c r="N54" s="208" t="s">
        <v>50</v>
      </c>
      <c r="O54" s="232">
        <v>2</v>
      </c>
      <c r="P54" s="230" t="s">
        <v>41</v>
      </c>
      <c r="Q54" s="240">
        <f t="shared" ref="Q54:Q55" si="9">M54*O54</f>
        <v>2</v>
      </c>
      <c r="R54" s="242"/>
      <c r="S54" s="240">
        <f t="shared" si="2"/>
        <v>2</v>
      </c>
      <c r="T54" s="216" t="s">
        <v>42</v>
      </c>
      <c r="U54" s="196" t="str">
        <f t="shared" si="5"/>
        <v>2 Days</v>
      </c>
    </row>
    <row r="55" spans="3:21" s="185" customFormat="1" ht="20.25" customHeight="1">
      <c r="C55" s="198"/>
      <c r="D55" s="203">
        <f t="shared" si="1"/>
        <v>55</v>
      </c>
      <c r="E55" s="207" t="s">
        <v>91</v>
      </c>
      <c r="F55" s="211">
        <f>D54</f>
        <v>54</v>
      </c>
      <c r="G55" s="206" t="s">
        <v>55</v>
      </c>
      <c r="H55" s="206"/>
      <c r="I55" s="233" t="str">
        <f>I54</f>
        <v>60 t</v>
      </c>
      <c r="J55" s="253" t="s">
        <v>1245</v>
      </c>
      <c r="K55" s="231">
        <v>1</v>
      </c>
      <c r="L55" s="208" t="s">
        <v>39</v>
      </c>
      <c r="M55" s="217">
        <v>1</v>
      </c>
      <c r="N55" s="208" t="s">
        <v>50</v>
      </c>
      <c r="O55" s="232">
        <v>5</v>
      </c>
      <c r="P55" s="230" t="s">
        <v>41</v>
      </c>
      <c r="Q55" s="240">
        <f t="shared" si="9"/>
        <v>5</v>
      </c>
      <c r="R55" s="242"/>
      <c r="S55" s="240">
        <f t="shared" si="2"/>
        <v>5</v>
      </c>
      <c r="T55" s="216" t="s">
        <v>42</v>
      </c>
      <c r="U55" s="196" t="str">
        <f t="shared" si="5"/>
        <v>5 Days</v>
      </c>
    </row>
    <row r="56" spans="3:21" s="185" customFormat="1" ht="20.25" customHeight="1">
      <c r="C56" s="198">
        <f>D56</f>
        <v>56</v>
      </c>
      <c r="D56" s="203">
        <f t="shared" si="1"/>
        <v>56</v>
      </c>
      <c r="E56" s="209" t="s">
        <v>93</v>
      </c>
      <c r="F56" s="210"/>
      <c r="G56" s="206"/>
      <c r="H56" s="206"/>
      <c r="I56" s="208"/>
      <c r="J56" s="208"/>
      <c r="K56" s="231"/>
      <c r="L56" s="208"/>
      <c r="M56" s="217"/>
      <c r="N56" s="208"/>
      <c r="O56" s="232"/>
      <c r="P56" s="230"/>
      <c r="Q56" s="240"/>
      <c r="R56" s="242"/>
      <c r="S56" s="240"/>
      <c r="T56" s="243"/>
      <c r="U56" s="196"/>
    </row>
    <row r="57" spans="3:21" s="185" customFormat="1" ht="20.25" customHeight="1">
      <c r="C57" s="198"/>
      <c r="D57" s="203">
        <f t="shared" si="1"/>
        <v>57</v>
      </c>
      <c r="E57" s="207" t="s">
        <v>94</v>
      </c>
      <c r="F57" s="211"/>
      <c r="G57" s="206" t="s">
        <v>55</v>
      </c>
      <c r="H57" s="206"/>
      <c r="I57" s="224" t="str">
        <f>I54</f>
        <v>60 t</v>
      </c>
      <c r="J57" s="208" t="str">
        <f>J47</f>
        <v>212 holes</v>
      </c>
      <c r="K57" s="231">
        <v>1</v>
      </c>
      <c r="L57" s="208" t="s">
        <v>39</v>
      </c>
      <c r="M57" s="227">
        <f>LEFT(J57,SEARCH(" ",J57,1)-1)*LEFT(I57,SEARCH(" ",I57,1)-1)*K57/1000</f>
        <v>12.72</v>
      </c>
      <c r="N57" s="208" t="s">
        <v>79</v>
      </c>
      <c r="O57" s="229">
        <f>1/1.5^1</f>
        <v>0.66666666666666663</v>
      </c>
      <c r="P57" s="230" t="s">
        <v>47</v>
      </c>
      <c r="Q57" s="240">
        <f>M57*O57/24</f>
        <v>0.35333333333333333</v>
      </c>
      <c r="R57" s="242"/>
      <c r="S57" s="240">
        <f t="shared" si="2"/>
        <v>0.35</v>
      </c>
      <c r="T57" s="216" t="s">
        <v>42</v>
      </c>
      <c r="U57" s="196" t="str">
        <f t="shared" si="5"/>
        <v>0.35 Days</v>
      </c>
    </row>
    <row r="58" spans="3:21" s="185" customFormat="1" ht="20.25" customHeight="1">
      <c r="C58" s="198"/>
      <c r="D58" s="203">
        <f t="shared" si="1"/>
        <v>58</v>
      </c>
      <c r="E58" s="207" t="s">
        <v>95</v>
      </c>
      <c r="F58" s="211">
        <f>D57</f>
        <v>57</v>
      </c>
      <c r="G58" s="206" t="s">
        <v>55</v>
      </c>
      <c r="H58" s="206"/>
      <c r="I58" s="224" t="str">
        <f>I54</f>
        <v>60 t</v>
      </c>
      <c r="J58" s="208" t="str">
        <f>J57</f>
        <v>212 holes</v>
      </c>
      <c r="K58" s="231">
        <v>1</v>
      </c>
      <c r="L58" s="208" t="s">
        <v>40</v>
      </c>
      <c r="M58" s="227" t="str">
        <f>LEFT(J58,SEARCH(" ",J58,1)-1)</f>
        <v>212</v>
      </c>
      <c r="N58" s="208" t="s">
        <v>81</v>
      </c>
      <c r="O58" s="229">
        <f>1/60*5</f>
        <v>8.3333333333333329E-2</v>
      </c>
      <c r="P58" s="230" t="s">
        <v>47</v>
      </c>
      <c r="Q58" s="240">
        <f>M58*O58/24</f>
        <v>0.73611111111111105</v>
      </c>
      <c r="R58" s="242"/>
      <c r="S58" s="240">
        <f t="shared" si="2"/>
        <v>0.74</v>
      </c>
      <c r="T58" s="216" t="s">
        <v>42</v>
      </c>
      <c r="U58" s="196" t="str">
        <f t="shared" si="5"/>
        <v>0.74 Days</v>
      </c>
    </row>
    <row r="59" spans="3:21" s="185" customFormat="1" ht="20.25" customHeight="1">
      <c r="C59" s="198"/>
      <c r="D59" s="203">
        <f t="shared" si="1"/>
        <v>59</v>
      </c>
      <c r="E59" s="207" t="s">
        <v>96</v>
      </c>
      <c r="F59" s="211">
        <f>D58</f>
        <v>58</v>
      </c>
      <c r="G59" s="206" t="s">
        <v>55</v>
      </c>
      <c r="H59" s="206"/>
      <c r="I59" s="224" t="str">
        <f>I54</f>
        <v>60 t</v>
      </c>
      <c r="J59" s="208"/>
      <c r="K59" s="231">
        <v>1</v>
      </c>
      <c r="L59" s="208" t="s">
        <v>83</v>
      </c>
      <c r="M59" s="235">
        <v>1</v>
      </c>
      <c r="N59" s="208" t="s">
        <v>84</v>
      </c>
      <c r="O59" s="229">
        <v>1</v>
      </c>
      <c r="P59" s="230" t="s">
        <v>41</v>
      </c>
      <c r="Q59" s="240">
        <f>M59*O59</f>
        <v>1</v>
      </c>
      <c r="R59" s="242"/>
      <c r="S59" s="240">
        <f t="shared" si="2"/>
        <v>1</v>
      </c>
      <c r="T59" s="216" t="s">
        <v>42</v>
      </c>
      <c r="U59" s="196" t="str">
        <f t="shared" si="5"/>
        <v>1 Days</v>
      </c>
    </row>
    <row r="60" spans="3:21" s="185" customFormat="1" ht="20.25" customHeight="1">
      <c r="C60" s="198"/>
      <c r="D60" s="203">
        <f t="shared" si="1"/>
        <v>60</v>
      </c>
      <c r="E60" s="207" t="s">
        <v>97</v>
      </c>
      <c r="F60" s="211">
        <f>D59</f>
        <v>59</v>
      </c>
      <c r="G60" s="206" t="s">
        <v>55</v>
      </c>
      <c r="H60" s="206"/>
      <c r="I60" s="224" t="str">
        <f>I54</f>
        <v>60 t</v>
      </c>
      <c r="J60" s="208"/>
      <c r="K60" s="231">
        <v>1</v>
      </c>
      <c r="L60" s="208" t="s">
        <v>83</v>
      </c>
      <c r="M60" s="217">
        <v>1</v>
      </c>
      <c r="N60" s="208" t="s">
        <v>84</v>
      </c>
      <c r="O60" s="232">
        <v>4</v>
      </c>
      <c r="P60" s="230" t="s">
        <v>41</v>
      </c>
      <c r="Q60" s="240">
        <f t="shared" ref="Q60:Q61" si="10">M60*O60</f>
        <v>4</v>
      </c>
      <c r="R60" s="242"/>
      <c r="S60" s="240">
        <f t="shared" si="2"/>
        <v>4</v>
      </c>
      <c r="T60" s="216" t="s">
        <v>42</v>
      </c>
      <c r="U60" s="196" t="str">
        <f t="shared" si="5"/>
        <v>4 Days</v>
      </c>
    </row>
    <row r="61" spans="3:21" s="185" customFormat="1" ht="20.25" customHeight="1">
      <c r="C61" s="198"/>
      <c r="D61" s="203">
        <f t="shared" si="1"/>
        <v>61</v>
      </c>
      <c r="E61" s="207" t="s">
        <v>98</v>
      </c>
      <c r="F61" s="211">
        <f>D60</f>
        <v>60</v>
      </c>
      <c r="G61" s="206" t="s">
        <v>44</v>
      </c>
      <c r="H61" s="206"/>
      <c r="I61" s="224" t="str">
        <f>I54</f>
        <v>60 t</v>
      </c>
      <c r="J61" s="208" t="str">
        <f>J58</f>
        <v>212 holes</v>
      </c>
      <c r="K61" s="231">
        <v>1</v>
      </c>
      <c r="L61" s="208" t="s">
        <v>40</v>
      </c>
      <c r="M61" s="227" t="str">
        <f>LEFT(J61,SEARCH(" ",J61,1)-1)</f>
        <v>212</v>
      </c>
      <c r="N61" s="208" t="s">
        <v>40</v>
      </c>
      <c r="O61" s="229">
        <f>1/60*3</f>
        <v>0.05</v>
      </c>
      <c r="P61" s="230" t="s">
        <v>87</v>
      </c>
      <c r="Q61" s="240">
        <f t="shared" si="10"/>
        <v>10.600000000000001</v>
      </c>
      <c r="R61" s="242"/>
      <c r="S61" s="240">
        <f t="shared" si="2"/>
        <v>10.6</v>
      </c>
      <c r="T61" s="243" t="s">
        <v>48</v>
      </c>
      <c r="U61" s="196" t="str">
        <f t="shared" si="5"/>
        <v>10.6 Hrs</v>
      </c>
    </row>
    <row r="62" spans="3:21" s="185" customFormat="1" ht="20.25" customHeight="1">
      <c r="C62" s="198"/>
      <c r="D62" s="203">
        <f t="shared" si="1"/>
        <v>62</v>
      </c>
      <c r="E62" s="207" t="s">
        <v>99</v>
      </c>
      <c r="F62" s="211">
        <f>D61</f>
        <v>61</v>
      </c>
      <c r="G62" s="206" t="s">
        <v>44</v>
      </c>
      <c r="H62" s="206"/>
      <c r="I62" s="208"/>
      <c r="J62" s="208"/>
      <c r="K62" s="231">
        <v>1</v>
      </c>
      <c r="L62" s="208"/>
      <c r="M62" s="227">
        <v>1050</v>
      </c>
      <c r="N62" s="208" t="s">
        <v>40</v>
      </c>
      <c r="O62" s="229">
        <f>1/60*3</f>
        <v>0.05</v>
      </c>
      <c r="P62" s="230" t="s">
        <v>53</v>
      </c>
      <c r="Q62" s="240">
        <f t="shared" si="4"/>
        <v>52.5</v>
      </c>
      <c r="R62" s="242">
        <v>1</v>
      </c>
      <c r="S62" s="240">
        <f t="shared" si="2"/>
        <v>53.5</v>
      </c>
      <c r="T62" s="243" t="s">
        <v>48</v>
      </c>
      <c r="U62" s="196" t="str">
        <f t="shared" si="5"/>
        <v>53.5 Hrs</v>
      </c>
    </row>
    <row r="63" spans="3:21" s="185" customFormat="1" ht="20.25" customHeight="1">
      <c r="C63" s="198">
        <f t="shared" ref="C63:C64" si="11">D63</f>
        <v>63</v>
      </c>
      <c r="D63" s="203">
        <f t="shared" si="1"/>
        <v>63</v>
      </c>
      <c r="E63" s="212" t="s">
        <v>100</v>
      </c>
      <c r="F63" s="210">
        <f>D19</f>
        <v>19</v>
      </c>
      <c r="G63" s="208"/>
      <c r="H63" s="208"/>
      <c r="I63" s="208"/>
      <c r="J63" s="208"/>
      <c r="K63" s="234"/>
      <c r="L63" s="208"/>
      <c r="M63" s="217"/>
      <c r="N63" s="208"/>
      <c r="O63" s="218"/>
      <c r="P63" s="208"/>
      <c r="Q63" s="240"/>
      <c r="R63" s="239"/>
      <c r="S63" s="240"/>
      <c r="T63" s="216"/>
      <c r="U63" s="196"/>
    </row>
    <row r="64" spans="3:21" s="185" customFormat="1" ht="20.25" customHeight="1">
      <c r="C64" s="198">
        <f t="shared" si="11"/>
        <v>64</v>
      </c>
      <c r="D64" s="203">
        <f t="shared" si="1"/>
        <v>64</v>
      </c>
      <c r="E64" s="209" t="s">
        <v>101</v>
      </c>
      <c r="F64" s="210">
        <f>D3</f>
        <v>3</v>
      </c>
      <c r="G64" s="206"/>
      <c r="H64" s="206"/>
      <c r="I64" s="208"/>
      <c r="J64" s="208"/>
      <c r="K64" s="234"/>
      <c r="L64" s="208"/>
      <c r="M64" s="217"/>
      <c r="N64" s="208"/>
      <c r="O64" s="218"/>
      <c r="P64" s="208"/>
      <c r="Q64" s="240"/>
      <c r="R64" s="239"/>
      <c r="S64" s="240"/>
      <c r="T64" s="216"/>
      <c r="U64" s="196"/>
    </row>
    <row r="65" spans="3:21" s="185" customFormat="1" ht="20.25" customHeight="1">
      <c r="C65" s="198"/>
      <c r="D65" s="203">
        <f t="shared" si="1"/>
        <v>65</v>
      </c>
      <c r="E65" s="244" t="s">
        <v>102</v>
      </c>
      <c r="F65" s="211"/>
      <c r="G65" s="206" t="s">
        <v>44</v>
      </c>
      <c r="H65" s="206"/>
      <c r="I65" s="224" t="s">
        <v>103</v>
      </c>
      <c r="J65" s="208"/>
      <c r="K65" s="234"/>
      <c r="L65" s="208" t="s">
        <v>81</v>
      </c>
      <c r="M65" s="217">
        <f>K65</f>
        <v>0</v>
      </c>
      <c r="N65" s="208" t="s">
        <v>81</v>
      </c>
      <c r="O65" s="218">
        <v>1</v>
      </c>
      <c r="P65" s="208"/>
      <c r="Q65" s="240">
        <f t="shared" si="4"/>
        <v>0</v>
      </c>
      <c r="R65" s="239">
        <v>1</v>
      </c>
      <c r="S65" s="240">
        <f t="shared" si="2"/>
        <v>1</v>
      </c>
      <c r="T65" s="243" t="s">
        <v>48</v>
      </c>
      <c r="U65" s="196" t="str">
        <f t="shared" si="5"/>
        <v>1 Hrs</v>
      </c>
    </row>
    <row r="66" spans="3:21" s="185" customFormat="1" ht="20.25" customHeight="1">
      <c r="C66" s="198"/>
      <c r="D66" s="203">
        <f t="shared" si="1"/>
        <v>66</v>
      </c>
      <c r="E66" s="244" t="s">
        <v>104</v>
      </c>
      <c r="F66" s="211">
        <f>D65</f>
        <v>65</v>
      </c>
      <c r="G66" s="206" t="s">
        <v>44</v>
      </c>
      <c r="H66" s="206"/>
      <c r="I66" s="224" t="s">
        <v>105</v>
      </c>
      <c r="J66" s="208"/>
      <c r="K66" s="234"/>
      <c r="L66" s="208" t="s">
        <v>81</v>
      </c>
      <c r="M66" s="217">
        <f>K66</f>
        <v>0</v>
      </c>
      <c r="N66" s="208" t="s">
        <v>81</v>
      </c>
      <c r="O66" s="218">
        <v>0.5</v>
      </c>
      <c r="P66" s="208"/>
      <c r="Q66" s="240">
        <f t="shared" si="4"/>
        <v>0</v>
      </c>
      <c r="R66" s="239">
        <v>1</v>
      </c>
      <c r="S66" s="240">
        <f t="shared" si="2"/>
        <v>1</v>
      </c>
      <c r="T66" s="243" t="s">
        <v>48</v>
      </c>
      <c r="U66" s="196" t="str">
        <f t="shared" si="5"/>
        <v>1 Hrs</v>
      </c>
    </row>
    <row r="67" spans="3:21" s="185" customFormat="1" ht="20.25" customHeight="1">
      <c r="C67" s="198"/>
      <c r="D67" s="203">
        <f t="shared" ref="D67:D130" si="12">D66+1</f>
        <v>67</v>
      </c>
      <c r="E67" s="244" t="s">
        <v>106</v>
      </c>
      <c r="F67" s="211">
        <f>D66</f>
        <v>66</v>
      </c>
      <c r="G67" s="206" t="s">
        <v>44</v>
      </c>
      <c r="H67" s="206"/>
      <c r="I67" s="208"/>
      <c r="J67" s="208"/>
      <c r="K67" s="234"/>
      <c r="L67" s="208" t="s">
        <v>81</v>
      </c>
      <c r="M67" s="217">
        <f>K67</f>
        <v>0</v>
      </c>
      <c r="N67" s="208" t="s">
        <v>81</v>
      </c>
      <c r="O67" s="218">
        <v>0.5</v>
      </c>
      <c r="P67" s="208"/>
      <c r="Q67" s="240">
        <f t="shared" si="4"/>
        <v>0</v>
      </c>
      <c r="R67" s="239">
        <v>1</v>
      </c>
      <c r="S67" s="240">
        <f t="shared" si="2"/>
        <v>1</v>
      </c>
      <c r="T67" s="243" t="s">
        <v>48</v>
      </c>
      <c r="U67" s="196" t="str">
        <f t="shared" si="5"/>
        <v>1 Hrs</v>
      </c>
    </row>
    <row r="68" spans="3:21" s="185" customFormat="1" ht="20.25" customHeight="1">
      <c r="C68" s="198">
        <f>D68</f>
        <v>68</v>
      </c>
      <c r="D68" s="203">
        <f t="shared" si="12"/>
        <v>68</v>
      </c>
      <c r="E68" s="209" t="s">
        <v>107</v>
      </c>
      <c r="F68" s="210">
        <f>D64</f>
        <v>64</v>
      </c>
      <c r="G68" s="206"/>
      <c r="H68" s="206"/>
      <c r="I68" s="208"/>
      <c r="J68" s="208"/>
      <c r="K68" s="234"/>
      <c r="L68" s="208"/>
      <c r="M68" s="217"/>
      <c r="N68" s="208"/>
      <c r="O68" s="218"/>
      <c r="P68" s="208"/>
      <c r="Q68" s="240"/>
      <c r="R68" s="239"/>
      <c r="S68" s="240"/>
      <c r="T68" s="216"/>
      <c r="U68" s="196"/>
    </row>
    <row r="69" spans="3:21" s="185" customFormat="1" ht="20.25" customHeight="1">
      <c r="C69" s="198"/>
      <c r="D69" s="203">
        <f t="shared" si="12"/>
        <v>69</v>
      </c>
      <c r="E69" s="245" t="s">
        <v>102</v>
      </c>
      <c r="F69" s="211"/>
      <c r="G69" s="206" t="s">
        <v>52</v>
      </c>
      <c r="H69" s="206"/>
      <c r="I69" s="224" t="str">
        <f>I65</f>
        <v>26" nb</v>
      </c>
      <c r="J69" s="208"/>
      <c r="K69" s="234"/>
      <c r="L69" s="208" t="s">
        <v>81</v>
      </c>
      <c r="M69" s="217">
        <f>K69</f>
        <v>0</v>
      </c>
      <c r="N69" s="208" t="s">
        <v>81</v>
      </c>
      <c r="O69" s="218">
        <v>0</v>
      </c>
      <c r="P69" s="208"/>
      <c r="Q69" s="240">
        <f t="shared" si="4"/>
        <v>0</v>
      </c>
      <c r="R69" s="239">
        <v>0</v>
      </c>
      <c r="S69" s="240"/>
      <c r="T69" s="243" t="s">
        <v>48</v>
      </c>
      <c r="U69" s="196"/>
    </row>
    <row r="70" spans="3:21" s="185" customFormat="1" ht="20.25" customHeight="1">
      <c r="C70" s="198"/>
      <c r="D70" s="203">
        <f t="shared" si="12"/>
        <v>70</v>
      </c>
      <c r="E70" s="245" t="s">
        <v>104</v>
      </c>
      <c r="F70" s="211">
        <f>D69</f>
        <v>69</v>
      </c>
      <c r="G70" s="206" t="s">
        <v>52</v>
      </c>
      <c r="H70" s="206"/>
      <c r="I70" s="224" t="str">
        <f>I66</f>
        <v>2"nb</v>
      </c>
      <c r="J70" s="208"/>
      <c r="K70" s="234"/>
      <c r="L70" s="208" t="s">
        <v>81</v>
      </c>
      <c r="M70" s="217">
        <f>K70</f>
        <v>0</v>
      </c>
      <c r="N70" s="208" t="s">
        <v>81</v>
      </c>
      <c r="O70" s="218">
        <v>0</v>
      </c>
      <c r="P70" s="208"/>
      <c r="Q70" s="240">
        <f t="shared" si="4"/>
        <v>0</v>
      </c>
      <c r="R70" s="239">
        <v>0</v>
      </c>
      <c r="S70" s="240"/>
      <c r="T70" s="243" t="s">
        <v>48</v>
      </c>
      <c r="U70" s="196"/>
    </row>
    <row r="71" spans="3:21" s="185" customFormat="1" ht="20.25" customHeight="1">
      <c r="C71" s="198"/>
      <c r="D71" s="203">
        <f t="shared" si="12"/>
        <v>71</v>
      </c>
      <c r="E71" s="245" t="s">
        <v>106</v>
      </c>
      <c r="F71" s="211">
        <f>D70</f>
        <v>70</v>
      </c>
      <c r="G71" s="206" t="s">
        <v>52</v>
      </c>
      <c r="H71" s="206"/>
      <c r="I71" s="208"/>
      <c r="J71" s="208"/>
      <c r="K71" s="234"/>
      <c r="L71" s="208" t="s">
        <v>81</v>
      </c>
      <c r="M71" s="217">
        <f>K71</f>
        <v>0</v>
      </c>
      <c r="N71" s="208" t="s">
        <v>81</v>
      </c>
      <c r="O71" s="218">
        <v>0</v>
      </c>
      <c r="P71" s="208"/>
      <c r="Q71" s="240">
        <f t="shared" si="4"/>
        <v>0</v>
      </c>
      <c r="R71" s="239">
        <v>0</v>
      </c>
      <c r="S71" s="240"/>
      <c r="T71" s="243" t="s">
        <v>48</v>
      </c>
      <c r="U71" s="196"/>
    </row>
    <row r="72" spans="3:21" s="185" customFormat="1" ht="20.25" customHeight="1">
      <c r="C72" s="198">
        <f>D72</f>
        <v>72</v>
      </c>
      <c r="D72" s="203">
        <f t="shared" si="12"/>
        <v>72</v>
      </c>
      <c r="E72" s="209" t="s">
        <v>108</v>
      </c>
      <c r="F72" s="210">
        <f>D68</f>
        <v>68</v>
      </c>
      <c r="G72" s="206"/>
      <c r="H72" s="206"/>
      <c r="I72" s="208"/>
      <c r="J72" s="208"/>
      <c r="K72" s="234"/>
      <c r="L72" s="208"/>
      <c r="M72" s="217"/>
      <c r="N72" s="208"/>
      <c r="O72" s="218"/>
      <c r="P72" s="208"/>
      <c r="Q72" s="240"/>
      <c r="R72" s="239"/>
      <c r="S72" s="240"/>
      <c r="T72" s="216"/>
      <c r="U72" s="196"/>
    </row>
    <row r="73" spans="3:21" s="185" customFormat="1" ht="20.25" customHeight="1">
      <c r="C73" s="198"/>
      <c r="D73" s="203">
        <f t="shared" si="12"/>
        <v>73</v>
      </c>
      <c r="E73" s="244" t="s">
        <v>102</v>
      </c>
      <c r="F73" s="211"/>
      <c r="G73" s="206" t="s">
        <v>52</v>
      </c>
      <c r="H73" s="206"/>
      <c r="I73" s="224" t="str">
        <f>I65</f>
        <v>26" nb</v>
      </c>
      <c r="J73" s="208"/>
      <c r="K73" s="234"/>
      <c r="L73" s="208" t="s">
        <v>81</v>
      </c>
      <c r="M73" s="217">
        <v>2</v>
      </c>
      <c r="N73" s="208" t="s">
        <v>81</v>
      </c>
      <c r="O73" s="218">
        <v>4</v>
      </c>
      <c r="P73" s="208"/>
      <c r="Q73" s="240">
        <f t="shared" si="4"/>
        <v>8</v>
      </c>
      <c r="R73" s="239">
        <v>0</v>
      </c>
      <c r="S73" s="240">
        <f t="shared" si="2"/>
        <v>8</v>
      </c>
      <c r="T73" s="243" t="s">
        <v>48</v>
      </c>
      <c r="U73" s="196" t="str">
        <f t="shared" si="5"/>
        <v>8 Hrs</v>
      </c>
    </row>
    <row r="74" spans="3:21" s="185" customFormat="1" ht="20.25" customHeight="1">
      <c r="C74" s="198"/>
      <c r="D74" s="203">
        <f t="shared" si="12"/>
        <v>74</v>
      </c>
      <c r="E74" s="244" t="s">
        <v>104</v>
      </c>
      <c r="F74" s="211">
        <f>D73</f>
        <v>73</v>
      </c>
      <c r="G74" s="206" t="s">
        <v>52</v>
      </c>
      <c r="H74" s="206"/>
      <c r="I74" s="224" t="str">
        <f>I66</f>
        <v>2"nb</v>
      </c>
      <c r="J74" s="208"/>
      <c r="K74" s="234"/>
      <c r="L74" s="208" t="s">
        <v>81</v>
      </c>
      <c r="M74" s="217">
        <v>2</v>
      </c>
      <c r="N74" s="208" t="s">
        <v>81</v>
      </c>
      <c r="O74" s="218">
        <v>0</v>
      </c>
      <c r="P74" s="208"/>
      <c r="Q74" s="240">
        <f t="shared" si="4"/>
        <v>0</v>
      </c>
      <c r="R74" s="239">
        <v>0</v>
      </c>
      <c r="S74" s="240"/>
      <c r="T74" s="243" t="s">
        <v>48</v>
      </c>
      <c r="U74" s="196"/>
    </row>
    <row r="75" spans="3:21" s="185" customFormat="1" ht="20.25" customHeight="1">
      <c r="C75" s="198"/>
      <c r="D75" s="203">
        <f t="shared" si="12"/>
        <v>75</v>
      </c>
      <c r="E75" s="244" t="s">
        <v>109</v>
      </c>
      <c r="F75" s="211">
        <f>D74</f>
        <v>74</v>
      </c>
      <c r="G75" s="206" t="s">
        <v>52</v>
      </c>
      <c r="H75" s="206"/>
      <c r="I75" s="208"/>
      <c r="J75" s="208"/>
      <c r="K75" s="234"/>
      <c r="L75" s="208" t="s">
        <v>81</v>
      </c>
      <c r="M75" s="217">
        <v>4</v>
      </c>
      <c r="N75" s="208" t="s">
        <v>81</v>
      </c>
      <c r="O75" s="218">
        <v>0</v>
      </c>
      <c r="P75" s="208"/>
      <c r="Q75" s="240">
        <f t="shared" si="4"/>
        <v>0</v>
      </c>
      <c r="R75" s="239">
        <v>0</v>
      </c>
      <c r="S75" s="240"/>
      <c r="T75" s="243" t="s">
        <v>48</v>
      </c>
      <c r="U75" s="196"/>
    </row>
    <row r="76" spans="3:21" s="185" customFormat="1" ht="20.25" customHeight="1">
      <c r="C76" s="198">
        <f>D76</f>
        <v>76</v>
      </c>
      <c r="D76" s="203">
        <f t="shared" si="12"/>
        <v>76</v>
      </c>
      <c r="E76" s="209" t="s">
        <v>110</v>
      </c>
      <c r="F76" s="210">
        <f>D72</f>
        <v>72</v>
      </c>
      <c r="G76" s="206"/>
      <c r="H76" s="206"/>
      <c r="I76" s="208"/>
      <c r="J76" s="208"/>
      <c r="K76" s="234"/>
      <c r="L76" s="208"/>
      <c r="M76" s="217"/>
      <c r="N76" s="208"/>
      <c r="O76" s="218"/>
      <c r="P76" s="208"/>
      <c r="Q76" s="240"/>
      <c r="R76" s="239"/>
      <c r="S76" s="240"/>
      <c r="T76" s="216"/>
      <c r="U76" s="196"/>
    </row>
    <row r="77" spans="3:21" s="185" customFormat="1" ht="20.25" customHeight="1">
      <c r="C77" s="198"/>
      <c r="D77" s="203">
        <f t="shared" si="12"/>
        <v>77</v>
      </c>
      <c r="E77" s="245" t="s">
        <v>102</v>
      </c>
      <c r="F77" s="211"/>
      <c r="G77" s="206" t="s">
        <v>111</v>
      </c>
      <c r="H77" s="206"/>
      <c r="I77" s="224" t="str">
        <f>I65</f>
        <v>26" nb</v>
      </c>
      <c r="J77" s="208"/>
      <c r="K77" s="234"/>
      <c r="L77" s="208" t="s">
        <v>50</v>
      </c>
      <c r="M77" s="217">
        <v>2</v>
      </c>
      <c r="N77" s="208" t="s">
        <v>50</v>
      </c>
      <c r="O77" s="218">
        <v>4</v>
      </c>
      <c r="P77" s="208" t="s">
        <v>112</v>
      </c>
      <c r="Q77" s="240">
        <f t="shared" si="4"/>
        <v>8</v>
      </c>
      <c r="R77" s="239">
        <v>1</v>
      </c>
      <c r="S77" s="240">
        <f t="shared" si="2"/>
        <v>9</v>
      </c>
      <c r="T77" s="243" t="s">
        <v>48</v>
      </c>
      <c r="U77" s="196" t="str">
        <f t="shared" si="5"/>
        <v>9 Hrs</v>
      </c>
    </row>
    <row r="78" spans="3:21" s="185" customFormat="1" ht="20.25" customHeight="1">
      <c r="C78" s="198"/>
      <c r="D78" s="203">
        <f t="shared" si="12"/>
        <v>78</v>
      </c>
      <c r="E78" s="245" t="s">
        <v>104</v>
      </c>
      <c r="F78" s="211">
        <f>D77</f>
        <v>77</v>
      </c>
      <c r="G78" s="206" t="s">
        <v>111</v>
      </c>
      <c r="H78" s="206"/>
      <c r="I78" s="224" t="str">
        <f>I66</f>
        <v>2"nb</v>
      </c>
      <c r="J78" s="208"/>
      <c r="K78" s="234"/>
      <c r="L78" s="208" t="s">
        <v>50</v>
      </c>
      <c r="M78" s="217">
        <v>2</v>
      </c>
      <c r="N78" s="208" t="s">
        <v>50</v>
      </c>
      <c r="O78" s="218">
        <v>0</v>
      </c>
      <c r="P78" s="208" t="s">
        <v>112</v>
      </c>
      <c r="Q78" s="240">
        <f t="shared" si="4"/>
        <v>0</v>
      </c>
      <c r="R78" s="239">
        <v>1</v>
      </c>
      <c r="S78" s="240">
        <f t="shared" si="2"/>
        <v>1</v>
      </c>
      <c r="T78" s="243" t="s">
        <v>48</v>
      </c>
      <c r="U78" s="196" t="str">
        <f t="shared" si="5"/>
        <v>1 Hrs</v>
      </c>
    </row>
    <row r="79" spans="3:21" s="185" customFormat="1" ht="20.25" customHeight="1">
      <c r="C79" s="198"/>
      <c r="D79" s="203">
        <f t="shared" si="12"/>
        <v>79</v>
      </c>
      <c r="E79" s="245" t="s">
        <v>113</v>
      </c>
      <c r="F79" s="211">
        <f>D78</f>
        <v>78</v>
      </c>
      <c r="G79" s="206" t="s">
        <v>111</v>
      </c>
      <c r="H79" s="206"/>
      <c r="I79" s="208"/>
      <c r="J79" s="208"/>
      <c r="K79" s="234"/>
      <c r="L79" s="208" t="s">
        <v>50</v>
      </c>
      <c r="M79" s="217">
        <v>4</v>
      </c>
      <c r="N79" s="208" t="s">
        <v>50</v>
      </c>
      <c r="O79" s="218">
        <v>0.25</v>
      </c>
      <c r="P79" s="208" t="s">
        <v>112</v>
      </c>
      <c r="Q79" s="240">
        <f t="shared" si="4"/>
        <v>1</v>
      </c>
      <c r="R79" s="239">
        <v>1</v>
      </c>
      <c r="S79" s="240">
        <f t="shared" si="2"/>
        <v>2</v>
      </c>
      <c r="T79" s="243" t="s">
        <v>48</v>
      </c>
      <c r="U79" s="196" t="str">
        <f t="shared" si="5"/>
        <v>2 Hrs</v>
      </c>
    </row>
    <row r="80" spans="3:21" s="185" customFormat="1" ht="20.25" customHeight="1">
      <c r="C80" s="198">
        <f>D80</f>
        <v>80</v>
      </c>
      <c r="D80" s="203">
        <f t="shared" si="12"/>
        <v>80</v>
      </c>
      <c r="E80" s="209" t="s">
        <v>114</v>
      </c>
      <c r="F80" s="210">
        <f>D76</f>
        <v>76</v>
      </c>
      <c r="G80" s="206"/>
      <c r="H80" s="206"/>
      <c r="I80" s="208"/>
      <c r="J80" s="208"/>
      <c r="K80" s="234"/>
      <c r="L80" s="208"/>
      <c r="M80" s="217"/>
      <c r="N80" s="208"/>
      <c r="O80" s="218"/>
      <c r="P80" s="208"/>
      <c r="Q80" s="240"/>
      <c r="R80" s="239"/>
      <c r="S80" s="240"/>
      <c r="T80" s="216"/>
      <c r="U80" s="196"/>
    </row>
    <row r="81" spans="3:21" s="185" customFormat="1" ht="20.25" customHeight="1">
      <c r="C81" s="198"/>
      <c r="D81" s="203">
        <f t="shared" si="12"/>
        <v>81</v>
      </c>
      <c r="E81" s="244" t="s">
        <v>102</v>
      </c>
      <c r="F81" s="211"/>
      <c r="G81" s="206" t="s">
        <v>115</v>
      </c>
      <c r="H81" s="206"/>
      <c r="I81" s="224" t="s">
        <v>116</v>
      </c>
      <c r="J81" s="234"/>
      <c r="K81" s="234"/>
      <c r="L81" s="208" t="s">
        <v>50</v>
      </c>
      <c r="M81" s="227" t="e">
        <f>LEFT(J81,SEARCH(" ",J81,1)-1)*K81*0.001</f>
        <v>#VALUE!</v>
      </c>
      <c r="N81" s="208" t="s">
        <v>50</v>
      </c>
      <c r="O81" s="246">
        <f>6.12</f>
        <v>6.12</v>
      </c>
      <c r="P81" s="208" t="s">
        <v>112</v>
      </c>
      <c r="Q81" s="240" t="e">
        <f>M81*O81</f>
        <v>#VALUE!</v>
      </c>
      <c r="R81" s="239">
        <v>1</v>
      </c>
      <c r="S81" s="240" t="e">
        <f t="shared" si="2"/>
        <v>#VALUE!</v>
      </c>
      <c r="T81" s="243" t="s">
        <v>48</v>
      </c>
      <c r="U81" s="196" t="e">
        <f t="shared" si="5"/>
        <v>#VALUE!</v>
      </c>
    </row>
    <row r="82" spans="3:21" s="185" customFormat="1" ht="20.25" customHeight="1">
      <c r="C82" s="198"/>
      <c r="D82" s="203">
        <f t="shared" si="12"/>
        <v>82</v>
      </c>
      <c r="E82" s="244" t="s">
        <v>104</v>
      </c>
      <c r="F82" s="211">
        <f>D81</f>
        <v>81</v>
      </c>
      <c r="G82" s="206" t="s">
        <v>115</v>
      </c>
      <c r="H82" s="206"/>
      <c r="I82" s="224" t="str">
        <f>I70</f>
        <v>2"nb</v>
      </c>
      <c r="J82" s="234"/>
      <c r="K82" s="234"/>
      <c r="L82" s="208" t="s">
        <v>50</v>
      </c>
      <c r="M82" s="217">
        <v>0</v>
      </c>
      <c r="N82" s="208" t="s">
        <v>50</v>
      </c>
      <c r="O82" s="246"/>
      <c r="P82" s="208" t="s">
        <v>112</v>
      </c>
      <c r="Q82" s="240">
        <f t="shared" si="4"/>
        <v>0</v>
      </c>
      <c r="R82" s="239"/>
      <c r="S82" s="240"/>
      <c r="T82" s="243" t="s">
        <v>48</v>
      </c>
      <c r="U82" s="196"/>
    </row>
    <row r="83" spans="3:21" s="185" customFormat="1" ht="20.25" customHeight="1">
      <c r="C83" s="198"/>
      <c r="D83" s="203">
        <f t="shared" si="12"/>
        <v>83</v>
      </c>
      <c r="E83" s="244" t="s">
        <v>109</v>
      </c>
      <c r="F83" s="211">
        <f>D82</f>
        <v>82</v>
      </c>
      <c r="G83" s="206" t="s">
        <v>115</v>
      </c>
      <c r="H83" s="206"/>
      <c r="I83" s="208"/>
      <c r="J83" s="208"/>
      <c r="K83" s="234"/>
      <c r="L83" s="208" t="s">
        <v>50</v>
      </c>
      <c r="M83" s="217">
        <v>4</v>
      </c>
      <c r="N83" s="208" t="s">
        <v>50</v>
      </c>
      <c r="O83" s="218">
        <v>0.25</v>
      </c>
      <c r="P83" s="208" t="s">
        <v>112</v>
      </c>
      <c r="Q83" s="240">
        <f t="shared" si="4"/>
        <v>1</v>
      </c>
      <c r="R83" s="239">
        <v>1</v>
      </c>
      <c r="S83" s="240">
        <f t="shared" si="2"/>
        <v>2</v>
      </c>
      <c r="T83" s="243" t="s">
        <v>48</v>
      </c>
      <c r="U83" s="196" t="str">
        <f t="shared" si="5"/>
        <v>2 Hrs</v>
      </c>
    </row>
    <row r="84" spans="3:21" s="185" customFormat="1" ht="20.25" customHeight="1">
      <c r="C84" s="198">
        <f>D84</f>
        <v>84</v>
      </c>
      <c r="D84" s="203">
        <f t="shared" si="12"/>
        <v>84</v>
      </c>
      <c r="E84" s="209" t="s">
        <v>119</v>
      </c>
      <c r="F84" s="210">
        <f>D80</f>
        <v>80</v>
      </c>
      <c r="G84" s="206"/>
      <c r="H84" s="206"/>
      <c r="I84" s="208"/>
      <c r="J84" s="208"/>
      <c r="K84" s="234"/>
      <c r="L84" s="208"/>
      <c r="M84" s="217"/>
      <c r="N84" s="208"/>
      <c r="O84" s="218"/>
      <c r="P84" s="208"/>
      <c r="Q84" s="240"/>
      <c r="R84" s="239"/>
      <c r="S84" s="240"/>
      <c r="T84" s="216"/>
      <c r="U84" s="196"/>
    </row>
    <row r="85" spans="3:21" s="185" customFormat="1" ht="20.25" customHeight="1">
      <c r="C85" s="198"/>
      <c r="D85" s="203">
        <f t="shared" si="12"/>
        <v>85</v>
      </c>
      <c r="E85" s="245" t="s">
        <v>102</v>
      </c>
      <c r="F85" s="211"/>
      <c r="G85" s="206" t="s">
        <v>44</v>
      </c>
      <c r="H85" s="206"/>
      <c r="I85" s="224" t="str">
        <f>I73</f>
        <v>26" nb</v>
      </c>
      <c r="J85" s="208"/>
      <c r="K85" s="234"/>
      <c r="L85" s="208" t="s">
        <v>50</v>
      </c>
      <c r="M85" s="217">
        <v>1</v>
      </c>
      <c r="N85" s="208" t="s">
        <v>50</v>
      </c>
      <c r="O85" s="246">
        <v>4</v>
      </c>
      <c r="P85" s="208" t="s">
        <v>112</v>
      </c>
      <c r="Q85" s="240">
        <f t="shared" si="4"/>
        <v>4</v>
      </c>
      <c r="R85" s="239">
        <v>1</v>
      </c>
      <c r="S85" s="240">
        <f t="shared" si="2"/>
        <v>5</v>
      </c>
      <c r="T85" s="243" t="s">
        <v>48</v>
      </c>
      <c r="U85" s="196" t="str">
        <f t="shared" si="5"/>
        <v>5 Hrs</v>
      </c>
    </row>
    <row r="86" spans="3:21" s="185" customFormat="1" ht="20.25" customHeight="1">
      <c r="C86" s="198"/>
      <c r="D86" s="203">
        <f t="shared" si="12"/>
        <v>86</v>
      </c>
      <c r="E86" s="245" t="s">
        <v>104</v>
      </c>
      <c r="F86" s="211">
        <f>D85</f>
        <v>85</v>
      </c>
      <c r="G86" s="206" t="s">
        <v>44</v>
      </c>
      <c r="H86" s="206"/>
      <c r="I86" s="224" t="str">
        <f>I74</f>
        <v>2"nb</v>
      </c>
      <c r="J86" s="208"/>
      <c r="K86" s="234"/>
      <c r="L86" s="208" t="s">
        <v>50</v>
      </c>
      <c r="M86" s="217">
        <v>1</v>
      </c>
      <c r="N86" s="208" t="s">
        <v>50</v>
      </c>
      <c r="O86" s="246">
        <v>1</v>
      </c>
      <c r="P86" s="208" t="s">
        <v>112</v>
      </c>
      <c r="Q86" s="240">
        <f t="shared" si="4"/>
        <v>1</v>
      </c>
      <c r="R86" s="239">
        <v>1</v>
      </c>
      <c r="S86" s="240">
        <f t="shared" si="2"/>
        <v>2</v>
      </c>
      <c r="T86" s="243" t="s">
        <v>48</v>
      </c>
      <c r="U86" s="196" t="str">
        <f t="shared" si="5"/>
        <v>2 Hrs</v>
      </c>
    </row>
    <row r="87" spans="3:21" s="185" customFormat="1" ht="20.25" customHeight="1">
      <c r="C87" s="198"/>
      <c r="D87" s="203">
        <f t="shared" si="12"/>
        <v>87</v>
      </c>
      <c r="E87" s="245" t="s">
        <v>109</v>
      </c>
      <c r="F87" s="211">
        <f>D86</f>
        <v>86</v>
      </c>
      <c r="G87" s="206" t="s">
        <v>44</v>
      </c>
      <c r="H87" s="206"/>
      <c r="I87" s="208"/>
      <c r="J87" s="208"/>
      <c r="K87" s="234"/>
      <c r="L87" s="208" t="s">
        <v>50</v>
      </c>
      <c r="M87" s="217">
        <v>1</v>
      </c>
      <c r="N87" s="208" t="s">
        <v>50</v>
      </c>
      <c r="O87" s="218">
        <v>1</v>
      </c>
      <c r="P87" s="208" t="s">
        <v>112</v>
      </c>
      <c r="Q87" s="240">
        <f t="shared" si="4"/>
        <v>1</v>
      </c>
      <c r="R87" s="239">
        <v>1</v>
      </c>
      <c r="S87" s="240">
        <f t="shared" si="2"/>
        <v>2</v>
      </c>
      <c r="T87" s="243" t="s">
        <v>48</v>
      </c>
      <c r="U87" s="196" t="str">
        <f t="shared" si="5"/>
        <v>2 Hrs</v>
      </c>
    </row>
    <row r="88" spans="3:21" s="185" customFormat="1" ht="20.25" customHeight="1">
      <c r="C88" s="198">
        <f>D88</f>
        <v>88</v>
      </c>
      <c r="D88" s="203">
        <f t="shared" si="12"/>
        <v>88</v>
      </c>
      <c r="E88" s="209" t="s">
        <v>120</v>
      </c>
      <c r="F88" s="210">
        <f>D84</f>
        <v>84</v>
      </c>
      <c r="G88" s="206"/>
      <c r="H88" s="206"/>
      <c r="I88" s="208"/>
      <c r="J88" s="208"/>
      <c r="K88" s="234"/>
      <c r="L88" s="208"/>
      <c r="M88" s="217"/>
      <c r="N88" s="208"/>
      <c r="O88" s="218"/>
      <c r="P88" s="208"/>
      <c r="Q88" s="240"/>
      <c r="R88" s="239"/>
      <c r="S88" s="240"/>
      <c r="T88" s="216"/>
      <c r="U88" s="196"/>
    </row>
    <row r="89" spans="3:21" s="185" customFormat="1" ht="20.25" customHeight="1">
      <c r="C89" s="198"/>
      <c r="D89" s="203">
        <f t="shared" si="12"/>
        <v>89</v>
      </c>
      <c r="E89" s="244" t="s">
        <v>102</v>
      </c>
      <c r="F89" s="211"/>
      <c r="G89" s="206" t="s">
        <v>121</v>
      </c>
      <c r="H89" s="206"/>
      <c r="I89" s="224" t="str">
        <f>I77</f>
        <v>26" nb</v>
      </c>
      <c r="J89" s="208"/>
      <c r="K89" s="234"/>
      <c r="L89" s="208" t="s">
        <v>50</v>
      </c>
      <c r="M89" s="217">
        <v>0</v>
      </c>
      <c r="N89" s="208" t="s">
        <v>50</v>
      </c>
      <c r="O89" s="246"/>
      <c r="P89" s="208" t="s">
        <v>112</v>
      </c>
      <c r="Q89" s="240">
        <f t="shared" si="4"/>
        <v>0</v>
      </c>
      <c r="R89" s="239">
        <v>1</v>
      </c>
      <c r="S89" s="240">
        <f t="shared" si="2"/>
        <v>1</v>
      </c>
      <c r="T89" s="243" t="s">
        <v>48</v>
      </c>
      <c r="U89" s="196" t="str">
        <f t="shared" si="5"/>
        <v>1 Hrs</v>
      </c>
    </row>
    <row r="90" spans="3:21" s="185" customFormat="1" ht="20.25" customHeight="1">
      <c r="C90" s="198"/>
      <c r="D90" s="203">
        <f t="shared" si="12"/>
        <v>90</v>
      </c>
      <c r="E90" s="244" t="s">
        <v>104</v>
      </c>
      <c r="F90" s="211">
        <f>D89</f>
        <v>89</v>
      </c>
      <c r="G90" s="206" t="s">
        <v>121</v>
      </c>
      <c r="H90" s="206"/>
      <c r="I90" s="224" t="str">
        <f>I78</f>
        <v>2"nb</v>
      </c>
      <c r="J90" s="208"/>
      <c r="K90" s="234"/>
      <c r="L90" s="208" t="s">
        <v>50</v>
      </c>
      <c r="M90" s="217">
        <v>0</v>
      </c>
      <c r="N90" s="208" t="s">
        <v>50</v>
      </c>
      <c r="O90" s="246"/>
      <c r="P90" s="208" t="s">
        <v>112</v>
      </c>
      <c r="Q90" s="240">
        <f t="shared" si="4"/>
        <v>0</v>
      </c>
      <c r="R90" s="239">
        <v>1</v>
      </c>
      <c r="S90" s="240">
        <f t="shared" si="2"/>
        <v>1</v>
      </c>
      <c r="T90" s="243" t="s">
        <v>48</v>
      </c>
      <c r="U90" s="196" t="str">
        <f t="shared" si="5"/>
        <v>1 Hrs</v>
      </c>
    </row>
    <row r="91" spans="3:21" s="185" customFormat="1" ht="20.25" customHeight="1">
      <c r="C91" s="198"/>
      <c r="D91" s="203">
        <f t="shared" si="12"/>
        <v>91</v>
      </c>
      <c r="E91" s="244" t="s">
        <v>109</v>
      </c>
      <c r="F91" s="211">
        <f>D90</f>
        <v>90</v>
      </c>
      <c r="G91" s="206" t="s">
        <v>121</v>
      </c>
      <c r="H91" s="206"/>
      <c r="I91" s="208"/>
      <c r="J91" s="208"/>
      <c r="K91" s="234"/>
      <c r="L91" s="208" t="s">
        <v>50</v>
      </c>
      <c r="M91" s="217">
        <v>0</v>
      </c>
      <c r="N91" s="208" t="s">
        <v>50</v>
      </c>
      <c r="O91" s="218"/>
      <c r="P91" s="208" t="s">
        <v>112</v>
      </c>
      <c r="Q91" s="240">
        <f t="shared" si="4"/>
        <v>0</v>
      </c>
      <c r="R91" s="239">
        <v>1</v>
      </c>
      <c r="S91" s="240">
        <f t="shared" ref="S91" si="13">ROUND(Q91+R91,2)</f>
        <v>1</v>
      </c>
      <c r="T91" s="243" t="s">
        <v>48</v>
      </c>
      <c r="U91" s="196" t="str">
        <f t="shared" si="5"/>
        <v>1 Hrs</v>
      </c>
    </row>
    <row r="92" spans="3:21" s="185" customFormat="1" ht="20.25" customHeight="1">
      <c r="C92" s="198">
        <f>D92</f>
        <v>92</v>
      </c>
      <c r="D92" s="203">
        <f t="shared" si="12"/>
        <v>92</v>
      </c>
      <c r="E92" s="209" t="s">
        <v>122</v>
      </c>
      <c r="F92" s="210">
        <f>D88</f>
        <v>88</v>
      </c>
      <c r="G92" s="206"/>
      <c r="H92" s="206"/>
      <c r="I92" s="208"/>
      <c r="J92" s="208"/>
      <c r="K92" s="234"/>
      <c r="L92" s="208"/>
      <c r="M92" s="217"/>
      <c r="N92" s="208"/>
      <c r="O92" s="218"/>
      <c r="P92" s="208"/>
      <c r="Q92" s="240"/>
      <c r="R92" s="239"/>
      <c r="S92" s="240"/>
      <c r="T92" s="216"/>
      <c r="U92" s="196"/>
    </row>
    <row r="93" spans="3:21" s="185" customFormat="1" ht="20.25" customHeight="1">
      <c r="C93" s="198"/>
      <c r="D93" s="203">
        <f t="shared" si="12"/>
        <v>93</v>
      </c>
      <c r="E93" s="245" t="s">
        <v>102</v>
      </c>
      <c r="F93" s="211"/>
      <c r="G93" s="206" t="s">
        <v>121</v>
      </c>
      <c r="H93" s="206"/>
      <c r="I93" s="224" t="s">
        <v>123</v>
      </c>
      <c r="J93" s="208">
        <f>J81</f>
        <v>0</v>
      </c>
      <c r="K93" s="234"/>
      <c r="L93" s="208" t="s">
        <v>50</v>
      </c>
      <c r="M93" s="227" t="e">
        <f>LEFT(J93,SEARCH(" ",J93,1)-1)*K93*0.001</f>
        <v>#VALUE!</v>
      </c>
      <c r="N93" s="208" t="s">
        <v>50</v>
      </c>
      <c r="O93" s="246">
        <v>1</v>
      </c>
      <c r="P93" s="208" t="s">
        <v>112</v>
      </c>
      <c r="Q93" s="240" t="e">
        <f t="shared" ref="Q93:Q156" si="14">M93*O93</f>
        <v>#VALUE!</v>
      </c>
      <c r="R93" s="239">
        <v>1</v>
      </c>
      <c r="S93" s="240" t="e">
        <f t="shared" ref="S93:S156" si="15">ROUND(Q93+R93,2)</f>
        <v>#VALUE!</v>
      </c>
      <c r="T93" s="243" t="s">
        <v>48</v>
      </c>
      <c r="U93" s="196" t="e">
        <f t="shared" ref="U93:U156" si="16">CONCATENATE(S93," ",T93)</f>
        <v>#VALUE!</v>
      </c>
    </row>
    <row r="94" spans="3:21" s="185" customFormat="1" ht="20.25" customHeight="1">
      <c r="C94" s="198"/>
      <c r="D94" s="203">
        <f t="shared" si="12"/>
        <v>94</v>
      </c>
      <c r="E94" s="245" t="s">
        <v>104</v>
      </c>
      <c r="F94" s="211">
        <f t="shared" ref="F94:F157" si="17">D93</f>
        <v>93</v>
      </c>
      <c r="G94" s="206" t="s">
        <v>121</v>
      </c>
      <c r="H94" s="206"/>
      <c r="I94" s="224">
        <v>18</v>
      </c>
      <c r="J94" s="211">
        <f>J82</f>
        <v>0</v>
      </c>
      <c r="K94" s="234"/>
      <c r="L94" s="208" t="s">
        <v>50</v>
      </c>
      <c r="M94" s="227" t="e">
        <f>LEFT(J94,SEARCH(" ",J94,1)-1)*K94*0.001</f>
        <v>#VALUE!</v>
      </c>
      <c r="N94" s="208" t="s">
        <v>50</v>
      </c>
      <c r="O94" s="246">
        <v>0.5</v>
      </c>
      <c r="P94" s="208" t="s">
        <v>112</v>
      </c>
      <c r="Q94" s="240" t="e">
        <f t="shared" si="14"/>
        <v>#VALUE!</v>
      </c>
      <c r="R94" s="239">
        <v>1</v>
      </c>
      <c r="S94" s="240" t="e">
        <f t="shared" si="15"/>
        <v>#VALUE!</v>
      </c>
      <c r="T94" s="243" t="s">
        <v>48</v>
      </c>
      <c r="U94" s="196" t="e">
        <f t="shared" si="16"/>
        <v>#VALUE!</v>
      </c>
    </row>
    <row r="95" spans="3:21" s="185" customFormat="1" ht="20.25" customHeight="1">
      <c r="C95" s="198"/>
      <c r="D95" s="203">
        <f t="shared" si="12"/>
        <v>95</v>
      </c>
      <c r="E95" s="245" t="s">
        <v>109</v>
      </c>
      <c r="F95" s="211">
        <f t="shared" si="17"/>
        <v>94</v>
      </c>
      <c r="G95" s="206" t="s">
        <v>121</v>
      </c>
      <c r="H95" s="206"/>
      <c r="I95" s="208"/>
      <c r="J95" s="208"/>
      <c r="K95" s="234"/>
      <c r="L95" s="208" t="s">
        <v>50</v>
      </c>
      <c r="M95" s="217">
        <v>1</v>
      </c>
      <c r="N95" s="208" t="s">
        <v>50</v>
      </c>
      <c r="O95" s="218">
        <v>1</v>
      </c>
      <c r="P95" s="208" t="s">
        <v>112</v>
      </c>
      <c r="Q95" s="240">
        <f t="shared" si="14"/>
        <v>1</v>
      </c>
      <c r="R95" s="239">
        <v>1</v>
      </c>
      <c r="S95" s="240">
        <f t="shared" si="15"/>
        <v>2</v>
      </c>
      <c r="T95" s="243" t="s">
        <v>48</v>
      </c>
      <c r="U95" s="196" t="str">
        <f t="shared" si="16"/>
        <v>2 Hrs</v>
      </c>
    </row>
    <row r="96" spans="3:21" s="185" customFormat="1" ht="20.25" customHeight="1">
      <c r="C96" s="198">
        <f>D96</f>
        <v>96</v>
      </c>
      <c r="D96" s="203">
        <f t="shared" si="12"/>
        <v>96</v>
      </c>
      <c r="E96" s="209" t="s">
        <v>124</v>
      </c>
      <c r="F96" s="210">
        <f>D92</f>
        <v>92</v>
      </c>
      <c r="G96" s="206"/>
      <c r="H96" s="206"/>
      <c r="I96" s="208"/>
      <c r="J96" s="208"/>
      <c r="K96" s="234"/>
      <c r="L96" s="208"/>
      <c r="M96" s="217"/>
      <c r="N96" s="208"/>
      <c r="O96" s="218"/>
      <c r="P96" s="208"/>
      <c r="Q96" s="240"/>
      <c r="R96" s="239"/>
      <c r="S96" s="240"/>
      <c r="T96" s="216"/>
      <c r="U96" s="196"/>
    </row>
    <row r="97" spans="3:21" s="185" customFormat="1" ht="20.25" customHeight="1">
      <c r="C97" s="198"/>
      <c r="D97" s="203">
        <f t="shared" si="12"/>
        <v>97</v>
      </c>
      <c r="E97" s="207" t="s">
        <v>125</v>
      </c>
      <c r="F97" s="211"/>
      <c r="G97" s="206" t="s">
        <v>44</v>
      </c>
      <c r="H97" s="206"/>
      <c r="I97" s="224" t="s">
        <v>103</v>
      </c>
      <c r="J97" s="208">
        <f>J93</f>
        <v>0</v>
      </c>
      <c r="K97" s="234"/>
      <c r="L97" s="208" t="s">
        <v>81</v>
      </c>
      <c r="M97" s="217">
        <f>K97</f>
        <v>0</v>
      </c>
      <c r="N97" s="208" t="s">
        <v>81</v>
      </c>
      <c r="O97" s="218">
        <v>1</v>
      </c>
      <c r="P97" s="208"/>
      <c r="Q97" s="240">
        <f t="shared" ref="Q97:Q99" si="18">M97*O97</f>
        <v>0</v>
      </c>
      <c r="R97" s="239">
        <v>1</v>
      </c>
      <c r="S97" s="240">
        <f t="shared" si="15"/>
        <v>1</v>
      </c>
      <c r="T97" s="243" t="s">
        <v>48</v>
      </c>
      <c r="U97" s="196" t="str">
        <f t="shared" si="16"/>
        <v>1 Hrs</v>
      </c>
    </row>
    <row r="98" spans="3:21" s="185" customFormat="1" ht="20.25" customHeight="1">
      <c r="C98" s="198"/>
      <c r="D98" s="203">
        <f t="shared" si="12"/>
        <v>98</v>
      </c>
      <c r="E98" s="207" t="s">
        <v>104</v>
      </c>
      <c r="F98" s="211">
        <f t="shared" si="17"/>
        <v>97</v>
      </c>
      <c r="G98" s="206" t="s">
        <v>44</v>
      </c>
      <c r="H98" s="206"/>
      <c r="I98" s="224" t="s">
        <v>105</v>
      </c>
      <c r="J98" s="208">
        <f>J94</f>
        <v>0</v>
      </c>
      <c r="K98" s="234"/>
      <c r="L98" s="208" t="s">
        <v>81</v>
      </c>
      <c r="M98" s="217">
        <f>K98</f>
        <v>0</v>
      </c>
      <c r="N98" s="208" t="s">
        <v>81</v>
      </c>
      <c r="O98" s="218">
        <v>1</v>
      </c>
      <c r="P98" s="208"/>
      <c r="Q98" s="240">
        <f t="shared" si="18"/>
        <v>0</v>
      </c>
      <c r="R98" s="239">
        <v>1</v>
      </c>
      <c r="S98" s="240">
        <f t="shared" si="15"/>
        <v>1</v>
      </c>
      <c r="T98" s="243" t="s">
        <v>48</v>
      </c>
      <c r="U98" s="196" t="str">
        <f t="shared" si="16"/>
        <v>1 Hrs</v>
      </c>
    </row>
    <row r="99" spans="3:21" s="185" customFormat="1" ht="20.25" customHeight="1">
      <c r="C99" s="198"/>
      <c r="D99" s="203">
        <f t="shared" si="12"/>
        <v>99</v>
      </c>
      <c r="E99" s="207" t="s">
        <v>109</v>
      </c>
      <c r="F99" s="211">
        <f t="shared" si="17"/>
        <v>98</v>
      </c>
      <c r="G99" s="206" t="s">
        <v>44</v>
      </c>
      <c r="H99" s="206"/>
      <c r="I99" s="208"/>
      <c r="J99" s="208"/>
      <c r="K99" s="234"/>
      <c r="L99" s="208" t="s">
        <v>81</v>
      </c>
      <c r="M99" s="217">
        <f>K99</f>
        <v>0</v>
      </c>
      <c r="N99" s="208" t="s">
        <v>81</v>
      </c>
      <c r="O99" s="218">
        <v>0.5</v>
      </c>
      <c r="P99" s="208"/>
      <c r="Q99" s="240">
        <f t="shared" si="18"/>
        <v>0</v>
      </c>
      <c r="R99" s="239">
        <v>1</v>
      </c>
      <c r="S99" s="240">
        <f t="shared" si="15"/>
        <v>1</v>
      </c>
      <c r="T99" s="243" t="s">
        <v>48</v>
      </c>
      <c r="U99" s="196" t="str">
        <f t="shared" si="16"/>
        <v>1 Hrs</v>
      </c>
    </row>
    <row r="100" spans="3:21" s="185" customFormat="1" ht="20.25" customHeight="1">
      <c r="C100" s="198">
        <f>D100</f>
        <v>100</v>
      </c>
      <c r="D100" s="203">
        <f t="shared" si="12"/>
        <v>100</v>
      </c>
      <c r="E100" s="209" t="s">
        <v>126</v>
      </c>
      <c r="F100" s="210">
        <f>D96</f>
        <v>96</v>
      </c>
      <c r="G100" s="206"/>
      <c r="H100" s="206"/>
      <c r="I100" s="208"/>
      <c r="J100" s="208"/>
      <c r="K100" s="234"/>
      <c r="L100" s="208"/>
      <c r="M100" s="217"/>
      <c r="N100" s="208"/>
      <c r="O100" s="218"/>
      <c r="P100" s="208"/>
      <c r="Q100" s="240"/>
      <c r="R100" s="239"/>
      <c r="S100" s="240"/>
      <c r="T100" s="216"/>
      <c r="U100" s="196"/>
    </row>
    <row r="101" spans="3:21" s="185" customFormat="1" ht="20.25" customHeight="1">
      <c r="C101" s="198"/>
      <c r="D101" s="203">
        <f t="shared" si="12"/>
        <v>101</v>
      </c>
      <c r="E101" s="207" t="s">
        <v>125</v>
      </c>
      <c r="F101" s="211"/>
      <c r="G101" s="206" t="s">
        <v>52</v>
      </c>
      <c r="H101" s="206"/>
      <c r="I101" s="224" t="str">
        <f>I97</f>
        <v>26" nb</v>
      </c>
      <c r="J101" s="208"/>
      <c r="K101" s="234"/>
      <c r="L101" s="208" t="s">
        <v>81</v>
      </c>
      <c r="M101" s="217">
        <f>K101</f>
        <v>0</v>
      </c>
      <c r="N101" s="208" t="s">
        <v>81</v>
      </c>
      <c r="O101" s="218">
        <v>0</v>
      </c>
      <c r="P101" s="208"/>
      <c r="Q101" s="240">
        <f t="shared" si="14"/>
        <v>0</v>
      </c>
      <c r="R101" s="239">
        <v>0</v>
      </c>
      <c r="S101" s="240"/>
      <c r="T101" s="243" t="s">
        <v>48</v>
      </c>
      <c r="U101" s="196"/>
    </row>
    <row r="102" spans="3:21" s="185" customFormat="1" ht="20.25" customHeight="1">
      <c r="C102" s="198"/>
      <c r="D102" s="203">
        <f t="shared" si="12"/>
        <v>102</v>
      </c>
      <c r="E102" s="207" t="s">
        <v>104</v>
      </c>
      <c r="F102" s="211">
        <f t="shared" si="17"/>
        <v>101</v>
      </c>
      <c r="G102" s="206" t="s">
        <v>52</v>
      </c>
      <c r="H102" s="206"/>
      <c r="I102" s="224" t="str">
        <f>I98</f>
        <v>2"nb</v>
      </c>
      <c r="J102" s="208"/>
      <c r="K102" s="234"/>
      <c r="L102" s="208" t="s">
        <v>81</v>
      </c>
      <c r="M102" s="217">
        <f>K102</f>
        <v>0</v>
      </c>
      <c r="N102" s="208" t="s">
        <v>81</v>
      </c>
      <c r="O102" s="218">
        <v>0</v>
      </c>
      <c r="P102" s="208"/>
      <c r="Q102" s="240">
        <f t="shared" si="14"/>
        <v>0</v>
      </c>
      <c r="R102" s="239">
        <v>0</v>
      </c>
      <c r="S102" s="240"/>
      <c r="T102" s="243" t="s">
        <v>48</v>
      </c>
      <c r="U102" s="196"/>
    </row>
    <row r="103" spans="3:21" s="185" customFormat="1" ht="20.25" customHeight="1">
      <c r="C103" s="198"/>
      <c r="D103" s="203">
        <f t="shared" si="12"/>
        <v>103</v>
      </c>
      <c r="E103" s="207" t="s">
        <v>109</v>
      </c>
      <c r="F103" s="211">
        <f t="shared" si="17"/>
        <v>102</v>
      </c>
      <c r="G103" s="206" t="s">
        <v>52</v>
      </c>
      <c r="H103" s="206"/>
      <c r="I103" s="208"/>
      <c r="J103" s="208"/>
      <c r="K103" s="234"/>
      <c r="L103" s="208" t="s">
        <v>81</v>
      </c>
      <c r="M103" s="217">
        <f>K103</f>
        <v>0</v>
      </c>
      <c r="N103" s="208" t="s">
        <v>81</v>
      </c>
      <c r="O103" s="218">
        <v>0</v>
      </c>
      <c r="P103" s="208"/>
      <c r="Q103" s="240">
        <f t="shared" si="14"/>
        <v>0</v>
      </c>
      <c r="R103" s="239">
        <v>0</v>
      </c>
      <c r="S103" s="240"/>
      <c r="T103" s="243" t="s">
        <v>48</v>
      </c>
      <c r="U103" s="196"/>
    </row>
    <row r="104" spans="3:21" s="185" customFormat="1" ht="20.25" customHeight="1">
      <c r="C104" s="198">
        <f>D104</f>
        <v>104</v>
      </c>
      <c r="D104" s="203">
        <f t="shared" si="12"/>
        <v>104</v>
      </c>
      <c r="E104" s="209" t="s">
        <v>127</v>
      </c>
      <c r="F104" s="210">
        <f>D100</f>
        <v>100</v>
      </c>
      <c r="G104" s="206"/>
      <c r="H104" s="206"/>
      <c r="I104" s="208"/>
      <c r="J104" s="208"/>
      <c r="K104" s="234"/>
      <c r="L104" s="208"/>
      <c r="M104" s="217"/>
      <c r="N104" s="208"/>
      <c r="O104" s="218"/>
      <c r="P104" s="208"/>
      <c r="Q104" s="240"/>
      <c r="R104" s="239"/>
      <c r="S104" s="240"/>
      <c r="T104" s="216"/>
      <c r="U104" s="196"/>
    </row>
    <row r="105" spans="3:21" s="185" customFormat="1" ht="20.25" customHeight="1">
      <c r="C105" s="198"/>
      <c r="D105" s="203">
        <f t="shared" si="12"/>
        <v>105</v>
      </c>
      <c r="E105" s="207" t="s">
        <v>125</v>
      </c>
      <c r="F105" s="211"/>
      <c r="G105" s="206" t="s">
        <v>121</v>
      </c>
      <c r="H105" s="206"/>
      <c r="I105" s="224" t="str">
        <f>I97</f>
        <v>26" nb</v>
      </c>
      <c r="J105" s="208"/>
      <c r="K105" s="234"/>
      <c r="L105" s="208" t="s">
        <v>81</v>
      </c>
      <c r="M105" s="217">
        <v>2</v>
      </c>
      <c r="N105" s="208" t="s">
        <v>81</v>
      </c>
      <c r="O105" s="218">
        <v>4</v>
      </c>
      <c r="P105" s="208"/>
      <c r="Q105" s="240">
        <f t="shared" si="14"/>
        <v>8</v>
      </c>
      <c r="R105" s="239">
        <v>0</v>
      </c>
      <c r="S105" s="240">
        <f t="shared" si="15"/>
        <v>8</v>
      </c>
      <c r="T105" s="243" t="s">
        <v>48</v>
      </c>
      <c r="U105" s="196" t="str">
        <f t="shared" si="16"/>
        <v>8 Hrs</v>
      </c>
    </row>
    <row r="106" spans="3:21" s="185" customFormat="1" ht="20.25" customHeight="1">
      <c r="C106" s="198"/>
      <c r="D106" s="203">
        <f t="shared" si="12"/>
        <v>106</v>
      </c>
      <c r="E106" s="207" t="s">
        <v>104</v>
      </c>
      <c r="F106" s="211">
        <f t="shared" si="17"/>
        <v>105</v>
      </c>
      <c r="G106" s="206" t="s">
        <v>121</v>
      </c>
      <c r="H106" s="206"/>
      <c r="I106" s="224" t="str">
        <f>I98</f>
        <v>2"nb</v>
      </c>
      <c r="J106" s="208"/>
      <c r="K106" s="234"/>
      <c r="L106" s="208" t="s">
        <v>81</v>
      </c>
      <c r="M106" s="217">
        <v>2</v>
      </c>
      <c r="N106" s="208" t="s">
        <v>81</v>
      </c>
      <c r="O106" s="218">
        <v>0</v>
      </c>
      <c r="P106" s="208"/>
      <c r="Q106" s="240">
        <f t="shared" si="14"/>
        <v>0</v>
      </c>
      <c r="R106" s="239">
        <v>0</v>
      </c>
      <c r="S106" s="240"/>
      <c r="T106" s="243" t="s">
        <v>48</v>
      </c>
      <c r="U106" s="196"/>
    </row>
    <row r="107" spans="3:21" s="185" customFormat="1" ht="20.25" customHeight="1">
      <c r="C107" s="198"/>
      <c r="D107" s="203">
        <f t="shared" si="12"/>
        <v>107</v>
      </c>
      <c r="E107" s="207" t="s">
        <v>109</v>
      </c>
      <c r="F107" s="211">
        <f t="shared" si="17"/>
        <v>106</v>
      </c>
      <c r="G107" s="206" t="s">
        <v>121</v>
      </c>
      <c r="H107" s="206"/>
      <c r="I107" s="208"/>
      <c r="J107" s="208"/>
      <c r="K107" s="234"/>
      <c r="L107" s="208" t="s">
        <v>81</v>
      </c>
      <c r="M107" s="217">
        <v>4</v>
      </c>
      <c r="N107" s="208" t="s">
        <v>81</v>
      </c>
      <c r="O107" s="218">
        <v>0</v>
      </c>
      <c r="P107" s="208"/>
      <c r="Q107" s="240">
        <f t="shared" si="14"/>
        <v>0</v>
      </c>
      <c r="R107" s="239">
        <v>0</v>
      </c>
      <c r="S107" s="240"/>
      <c r="T107" s="243" t="s">
        <v>48</v>
      </c>
      <c r="U107" s="196"/>
    </row>
    <row r="108" spans="3:21" s="185" customFormat="1" ht="20.25" customHeight="1">
      <c r="C108" s="198">
        <f>D108</f>
        <v>108</v>
      </c>
      <c r="D108" s="203">
        <f t="shared" si="12"/>
        <v>108</v>
      </c>
      <c r="E108" s="209" t="s">
        <v>128</v>
      </c>
      <c r="F108" s="210">
        <f>D104</f>
        <v>104</v>
      </c>
      <c r="G108" s="206"/>
      <c r="H108" s="206"/>
      <c r="I108" s="208"/>
      <c r="J108" s="208"/>
      <c r="K108" s="234"/>
      <c r="L108" s="208"/>
      <c r="M108" s="217"/>
      <c r="N108" s="208"/>
      <c r="O108" s="218"/>
      <c r="P108" s="208"/>
      <c r="Q108" s="240"/>
      <c r="R108" s="239"/>
      <c r="S108" s="240"/>
      <c r="T108" s="216"/>
      <c r="U108" s="196"/>
    </row>
    <row r="109" spans="3:21" s="185" customFormat="1" ht="20.25" customHeight="1">
      <c r="C109" s="198"/>
      <c r="D109" s="203">
        <f t="shared" si="12"/>
        <v>109</v>
      </c>
      <c r="E109" s="207" t="s">
        <v>125</v>
      </c>
      <c r="F109" s="211"/>
      <c r="G109" s="206" t="s">
        <v>111</v>
      </c>
      <c r="H109" s="206"/>
      <c r="I109" s="224" t="str">
        <f>I97</f>
        <v>26" nb</v>
      </c>
      <c r="J109" s="208"/>
      <c r="K109" s="234"/>
      <c r="L109" s="208" t="s">
        <v>50</v>
      </c>
      <c r="M109" s="217">
        <v>2</v>
      </c>
      <c r="N109" s="208" t="s">
        <v>50</v>
      </c>
      <c r="O109" s="218">
        <v>4</v>
      </c>
      <c r="P109" s="208" t="s">
        <v>112</v>
      </c>
      <c r="Q109" s="240">
        <f t="shared" si="14"/>
        <v>8</v>
      </c>
      <c r="R109" s="239">
        <v>1</v>
      </c>
      <c r="S109" s="240">
        <f t="shared" si="15"/>
        <v>9</v>
      </c>
      <c r="T109" s="243" t="s">
        <v>48</v>
      </c>
      <c r="U109" s="196" t="str">
        <f t="shared" si="16"/>
        <v>9 Hrs</v>
      </c>
    </row>
    <row r="110" spans="3:21" s="185" customFormat="1" ht="20.25" customHeight="1">
      <c r="C110" s="198"/>
      <c r="D110" s="203">
        <f t="shared" si="12"/>
        <v>110</v>
      </c>
      <c r="E110" s="207" t="s">
        <v>104</v>
      </c>
      <c r="F110" s="211">
        <f t="shared" si="17"/>
        <v>109</v>
      </c>
      <c r="G110" s="206" t="s">
        <v>111</v>
      </c>
      <c r="H110" s="206"/>
      <c r="I110" s="224" t="str">
        <f>I98</f>
        <v>2"nb</v>
      </c>
      <c r="J110" s="208"/>
      <c r="K110" s="234"/>
      <c r="L110" s="208" t="s">
        <v>50</v>
      </c>
      <c r="M110" s="217">
        <v>2</v>
      </c>
      <c r="N110" s="208" t="s">
        <v>50</v>
      </c>
      <c r="O110" s="218">
        <v>0</v>
      </c>
      <c r="P110" s="208" t="s">
        <v>112</v>
      </c>
      <c r="Q110" s="240">
        <f t="shared" si="14"/>
        <v>0</v>
      </c>
      <c r="R110" s="239">
        <v>1</v>
      </c>
      <c r="S110" s="240">
        <f t="shared" si="15"/>
        <v>1</v>
      </c>
      <c r="T110" s="243" t="s">
        <v>48</v>
      </c>
      <c r="U110" s="196" t="str">
        <f t="shared" si="16"/>
        <v>1 Hrs</v>
      </c>
    </row>
    <row r="111" spans="3:21" s="185" customFormat="1" ht="20.25" customHeight="1">
      <c r="C111" s="198"/>
      <c r="D111" s="203">
        <f t="shared" si="12"/>
        <v>111</v>
      </c>
      <c r="E111" s="207" t="s">
        <v>109</v>
      </c>
      <c r="F111" s="211">
        <f t="shared" si="17"/>
        <v>110</v>
      </c>
      <c r="G111" s="206" t="s">
        <v>111</v>
      </c>
      <c r="H111" s="206"/>
      <c r="I111" s="208"/>
      <c r="J111" s="208"/>
      <c r="K111" s="234"/>
      <c r="L111" s="208" t="s">
        <v>50</v>
      </c>
      <c r="M111" s="217">
        <v>4</v>
      </c>
      <c r="N111" s="208" t="s">
        <v>50</v>
      </c>
      <c r="O111" s="218">
        <v>0.25</v>
      </c>
      <c r="P111" s="208" t="s">
        <v>112</v>
      </c>
      <c r="Q111" s="240">
        <f t="shared" si="14"/>
        <v>1</v>
      </c>
      <c r="R111" s="239">
        <v>1</v>
      </c>
      <c r="S111" s="240">
        <f t="shared" si="15"/>
        <v>2</v>
      </c>
      <c r="T111" s="243" t="s">
        <v>48</v>
      </c>
      <c r="U111" s="196" t="str">
        <f t="shared" si="16"/>
        <v>2 Hrs</v>
      </c>
    </row>
    <row r="112" spans="3:21" s="185" customFormat="1" ht="20.25" customHeight="1">
      <c r="C112" s="198">
        <f>D112</f>
        <v>112</v>
      </c>
      <c r="D112" s="203">
        <f t="shared" si="12"/>
        <v>112</v>
      </c>
      <c r="E112" s="209" t="s">
        <v>129</v>
      </c>
      <c r="F112" s="210">
        <f>D108</f>
        <v>108</v>
      </c>
      <c r="G112" s="206"/>
      <c r="H112" s="206"/>
      <c r="I112" s="208"/>
      <c r="J112" s="208"/>
      <c r="K112" s="234"/>
      <c r="L112" s="208"/>
      <c r="M112" s="217"/>
      <c r="N112" s="208"/>
      <c r="O112" s="218"/>
      <c r="P112" s="208"/>
      <c r="Q112" s="240"/>
      <c r="R112" s="239"/>
      <c r="S112" s="240"/>
      <c r="T112" s="216"/>
      <c r="U112" s="196"/>
    </row>
    <row r="113" spans="3:21" s="185" customFormat="1" ht="20.25" customHeight="1">
      <c r="C113" s="198"/>
      <c r="D113" s="203">
        <f t="shared" si="12"/>
        <v>113</v>
      </c>
      <c r="E113" s="207" t="s">
        <v>125</v>
      </c>
      <c r="F113" s="211"/>
      <c r="G113" s="206" t="s">
        <v>115</v>
      </c>
      <c r="H113" s="206"/>
      <c r="I113" s="224" t="s">
        <v>116</v>
      </c>
      <c r="J113" s="234"/>
      <c r="K113" s="234"/>
      <c r="L113" s="208" t="s">
        <v>50</v>
      </c>
      <c r="M113" s="227" t="e">
        <f>LEFT(J113,SEARCH(" ",J113,1)-1)*K113*0.001</f>
        <v>#VALUE!</v>
      </c>
      <c r="N113" s="208" t="s">
        <v>50</v>
      </c>
      <c r="O113" s="246">
        <f>6.12</f>
        <v>6.12</v>
      </c>
      <c r="P113" s="208" t="s">
        <v>112</v>
      </c>
      <c r="Q113" s="240" t="e">
        <f>M113*O113</f>
        <v>#VALUE!</v>
      </c>
      <c r="R113" s="239">
        <v>1</v>
      </c>
      <c r="S113" s="240" t="e">
        <f t="shared" si="15"/>
        <v>#VALUE!</v>
      </c>
      <c r="T113" s="243" t="s">
        <v>48</v>
      </c>
      <c r="U113" s="196" t="e">
        <f t="shared" si="16"/>
        <v>#VALUE!</v>
      </c>
    </row>
    <row r="114" spans="3:21" s="185" customFormat="1" ht="20.25" customHeight="1">
      <c r="C114" s="198"/>
      <c r="D114" s="203">
        <f t="shared" si="12"/>
        <v>114</v>
      </c>
      <c r="E114" s="207" t="s">
        <v>104</v>
      </c>
      <c r="F114" s="211">
        <f t="shared" si="17"/>
        <v>113</v>
      </c>
      <c r="G114" s="206" t="s">
        <v>115</v>
      </c>
      <c r="H114" s="206"/>
      <c r="I114" s="224" t="str">
        <f>I102</f>
        <v>2"nb</v>
      </c>
      <c r="J114" s="234"/>
      <c r="K114" s="234"/>
      <c r="L114" s="208" t="s">
        <v>50</v>
      </c>
      <c r="M114" s="217">
        <v>0</v>
      </c>
      <c r="N114" s="208" t="s">
        <v>50</v>
      </c>
      <c r="O114" s="246"/>
      <c r="P114" s="208" t="s">
        <v>112</v>
      </c>
      <c r="Q114" s="240">
        <f t="shared" ref="Q114:Q115" si="19">M114*O114</f>
        <v>0</v>
      </c>
      <c r="R114" s="239"/>
      <c r="S114" s="240"/>
      <c r="T114" s="243" t="s">
        <v>48</v>
      </c>
      <c r="U114" s="196"/>
    </row>
    <row r="115" spans="3:21" s="185" customFormat="1" ht="20.25" customHeight="1">
      <c r="C115" s="198"/>
      <c r="D115" s="203">
        <f t="shared" si="12"/>
        <v>115</v>
      </c>
      <c r="E115" s="207" t="s">
        <v>109</v>
      </c>
      <c r="F115" s="211">
        <f t="shared" si="17"/>
        <v>114</v>
      </c>
      <c r="G115" s="206" t="s">
        <v>115</v>
      </c>
      <c r="H115" s="206"/>
      <c r="I115" s="208"/>
      <c r="J115" s="208"/>
      <c r="K115" s="234"/>
      <c r="L115" s="208" t="s">
        <v>50</v>
      </c>
      <c r="M115" s="217">
        <v>4</v>
      </c>
      <c r="N115" s="208" t="s">
        <v>50</v>
      </c>
      <c r="O115" s="218">
        <v>0.25</v>
      </c>
      <c r="P115" s="208" t="s">
        <v>112</v>
      </c>
      <c r="Q115" s="240">
        <f t="shared" si="19"/>
        <v>1</v>
      </c>
      <c r="R115" s="239">
        <v>1</v>
      </c>
      <c r="S115" s="240">
        <f t="shared" si="15"/>
        <v>2</v>
      </c>
      <c r="T115" s="243" t="s">
        <v>48</v>
      </c>
      <c r="U115" s="196" t="str">
        <f t="shared" si="16"/>
        <v>2 Hrs</v>
      </c>
    </row>
    <row r="116" spans="3:21" s="185" customFormat="1" ht="20.25" customHeight="1">
      <c r="C116" s="198">
        <f>D116</f>
        <v>116</v>
      </c>
      <c r="D116" s="203">
        <f t="shared" si="12"/>
        <v>116</v>
      </c>
      <c r="E116" s="209" t="s">
        <v>130</v>
      </c>
      <c r="F116" s="210">
        <f>D112</f>
        <v>112</v>
      </c>
      <c r="G116" s="206"/>
      <c r="H116" s="206"/>
      <c r="I116" s="208"/>
      <c r="J116" s="208"/>
      <c r="K116" s="234"/>
      <c r="L116" s="208"/>
      <c r="M116" s="217"/>
      <c r="N116" s="208"/>
      <c r="O116" s="218"/>
      <c r="P116" s="208"/>
      <c r="Q116" s="240"/>
      <c r="R116" s="239"/>
      <c r="S116" s="240"/>
      <c r="T116" s="216"/>
      <c r="U116" s="196"/>
    </row>
    <row r="117" spans="3:21" s="185" customFormat="1" ht="20.25" customHeight="1">
      <c r="C117" s="198"/>
      <c r="D117" s="203">
        <f t="shared" si="12"/>
        <v>117</v>
      </c>
      <c r="E117" s="207" t="s">
        <v>125</v>
      </c>
      <c r="F117" s="211"/>
      <c r="G117" s="206" t="s">
        <v>44</v>
      </c>
      <c r="H117" s="206"/>
      <c r="I117" s="224" t="str">
        <f>I105</f>
        <v>26" nb</v>
      </c>
      <c r="J117" s="208"/>
      <c r="K117" s="234"/>
      <c r="L117" s="208" t="s">
        <v>50</v>
      </c>
      <c r="M117" s="217">
        <v>1</v>
      </c>
      <c r="N117" s="208" t="s">
        <v>50</v>
      </c>
      <c r="O117" s="246">
        <v>4</v>
      </c>
      <c r="P117" s="208" t="s">
        <v>112</v>
      </c>
      <c r="Q117" s="240">
        <f t="shared" si="14"/>
        <v>4</v>
      </c>
      <c r="R117" s="239">
        <v>1</v>
      </c>
      <c r="S117" s="240">
        <f t="shared" si="15"/>
        <v>5</v>
      </c>
      <c r="T117" s="243" t="s">
        <v>48</v>
      </c>
      <c r="U117" s="196" t="str">
        <f t="shared" si="16"/>
        <v>5 Hrs</v>
      </c>
    </row>
    <row r="118" spans="3:21" s="185" customFormat="1" ht="20.25" customHeight="1">
      <c r="C118" s="198"/>
      <c r="D118" s="203">
        <f t="shared" si="12"/>
        <v>118</v>
      </c>
      <c r="E118" s="207" t="s">
        <v>104</v>
      </c>
      <c r="F118" s="211">
        <f t="shared" si="17"/>
        <v>117</v>
      </c>
      <c r="G118" s="206" t="s">
        <v>44</v>
      </c>
      <c r="H118" s="206"/>
      <c r="I118" s="224" t="str">
        <f>I106</f>
        <v>2"nb</v>
      </c>
      <c r="J118" s="208"/>
      <c r="K118" s="234"/>
      <c r="L118" s="208" t="s">
        <v>50</v>
      </c>
      <c r="M118" s="217">
        <v>1</v>
      </c>
      <c r="N118" s="208" t="s">
        <v>50</v>
      </c>
      <c r="O118" s="246">
        <v>1</v>
      </c>
      <c r="P118" s="208" t="s">
        <v>112</v>
      </c>
      <c r="Q118" s="240">
        <f t="shared" si="14"/>
        <v>1</v>
      </c>
      <c r="R118" s="239">
        <v>1</v>
      </c>
      <c r="S118" s="240">
        <f t="shared" si="15"/>
        <v>2</v>
      </c>
      <c r="T118" s="243" t="s">
        <v>48</v>
      </c>
      <c r="U118" s="196" t="str">
        <f t="shared" si="16"/>
        <v>2 Hrs</v>
      </c>
    </row>
    <row r="119" spans="3:21" s="185" customFormat="1" ht="20.25" customHeight="1">
      <c r="C119" s="198"/>
      <c r="D119" s="203">
        <f t="shared" si="12"/>
        <v>119</v>
      </c>
      <c r="E119" s="207" t="s">
        <v>109</v>
      </c>
      <c r="F119" s="211">
        <f t="shared" si="17"/>
        <v>118</v>
      </c>
      <c r="G119" s="206" t="s">
        <v>44</v>
      </c>
      <c r="H119" s="206"/>
      <c r="I119" s="208"/>
      <c r="J119" s="208"/>
      <c r="K119" s="234"/>
      <c r="L119" s="208" t="s">
        <v>50</v>
      </c>
      <c r="M119" s="217">
        <v>1</v>
      </c>
      <c r="N119" s="208" t="s">
        <v>50</v>
      </c>
      <c r="O119" s="218">
        <v>1</v>
      </c>
      <c r="P119" s="208" t="s">
        <v>112</v>
      </c>
      <c r="Q119" s="240">
        <f t="shared" si="14"/>
        <v>1</v>
      </c>
      <c r="R119" s="239">
        <v>1</v>
      </c>
      <c r="S119" s="240">
        <f t="shared" si="15"/>
        <v>2</v>
      </c>
      <c r="T119" s="243" t="s">
        <v>48</v>
      </c>
      <c r="U119" s="196" t="str">
        <f t="shared" si="16"/>
        <v>2 Hrs</v>
      </c>
    </row>
    <row r="120" spans="3:21" s="185" customFormat="1" ht="20.25" customHeight="1">
      <c r="C120" s="198">
        <f>D120</f>
        <v>120</v>
      </c>
      <c r="D120" s="203">
        <f t="shared" si="12"/>
        <v>120</v>
      </c>
      <c r="E120" s="209" t="s">
        <v>131</v>
      </c>
      <c r="F120" s="210">
        <f>D116</f>
        <v>116</v>
      </c>
      <c r="G120" s="206"/>
      <c r="H120" s="206"/>
      <c r="I120" s="208"/>
      <c r="J120" s="208"/>
      <c r="K120" s="234"/>
      <c r="L120" s="208"/>
      <c r="M120" s="217"/>
      <c r="N120" s="208"/>
      <c r="O120" s="218"/>
      <c r="P120" s="208"/>
      <c r="Q120" s="240"/>
      <c r="R120" s="239"/>
      <c r="S120" s="240"/>
      <c r="T120" s="216"/>
      <c r="U120" s="196"/>
    </row>
    <row r="121" spans="3:21" s="185" customFormat="1" ht="20.25" customHeight="1">
      <c r="C121" s="198"/>
      <c r="D121" s="203">
        <f t="shared" si="12"/>
        <v>121</v>
      </c>
      <c r="E121" s="207" t="s">
        <v>125</v>
      </c>
      <c r="F121" s="211"/>
      <c r="G121" s="206" t="s">
        <v>44</v>
      </c>
      <c r="H121" s="206"/>
      <c r="I121" s="224" t="str">
        <f>I109</f>
        <v>26" nb</v>
      </c>
      <c r="J121" s="208"/>
      <c r="K121" s="234"/>
      <c r="L121" s="208" t="s">
        <v>50</v>
      </c>
      <c r="M121" s="217">
        <v>0</v>
      </c>
      <c r="N121" s="208" t="s">
        <v>50</v>
      </c>
      <c r="O121" s="246"/>
      <c r="P121" s="208" t="s">
        <v>112</v>
      </c>
      <c r="Q121" s="240">
        <f t="shared" ref="Q121:Q123" si="20">M121*O121</f>
        <v>0</v>
      </c>
      <c r="R121" s="239">
        <v>1</v>
      </c>
      <c r="S121" s="240">
        <f t="shared" si="15"/>
        <v>1</v>
      </c>
      <c r="T121" s="243" t="s">
        <v>48</v>
      </c>
      <c r="U121" s="196" t="str">
        <f t="shared" si="16"/>
        <v>1 Hrs</v>
      </c>
    </row>
    <row r="122" spans="3:21" s="185" customFormat="1" ht="20.25" customHeight="1">
      <c r="C122" s="198"/>
      <c r="D122" s="203">
        <f t="shared" si="12"/>
        <v>122</v>
      </c>
      <c r="E122" s="207" t="s">
        <v>104</v>
      </c>
      <c r="F122" s="211">
        <f t="shared" si="17"/>
        <v>121</v>
      </c>
      <c r="G122" s="206" t="s">
        <v>44</v>
      </c>
      <c r="H122" s="206"/>
      <c r="I122" s="224" t="str">
        <f>I110</f>
        <v>2"nb</v>
      </c>
      <c r="J122" s="208"/>
      <c r="K122" s="234"/>
      <c r="L122" s="208" t="s">
        <v>50</v>
      </c>
      <c r="M122" s="217">
        <v>0</v>
      </c>
      <c r="N122" s="208" t="s">
        <v>50</v>
      </c>
      <c r="O122" s="246"/>
      <c r="P122" s="208" t="s">
        <v>112</v>
      </c>
      <c r="Q122" s="240">
        <f t="shared" si="20"/>
        <v>0</v>
      </c>
      <c r="R122" s="239">
        <v>1</v>
      </c>
      <c r="S122" s="240">
        <f t="shared" si="15"/>
        <v>1</v>
      </c>
      <c r="T122" s="243" t="s">
        <v>48</v>
      </c>
      <c r="U122" s="196" t="str">
        <f t="shared" si="16"/>
        <v>1 Hrs</v>
      </c>
    </row>
    <row r="123" spans="3:21" s="185" customFormat="1" ht="20.25" customHeight="1">
      <c r="C123" s="198"/>
      <c r="D123" s="203">
        <f t="shared" si="12"/>
        <v>123</v>
      </c>
      <c r="E123" s="207" t="s">
        <v>109</v>
      </c>
      <c r="F123" s="211">
        <f t="shared" si="17"/>
        <v>122</v>
      </c>
      <c r="G123" s="206" t="s">
        <v>44</v>
      </c>
      <c r="H123" s="206"/>
      <c r="I123" s="208"/>
      <c r="J123" s="208"/>
      <c r="K123" s="234"/>
      <c r="L123" s="208" t="s">
        <v>50</v>
      </c>
      <c r="M123" s="217">
        <v>0</v>
      </c>
      <c r="N123" s="208" t="s">
        <v>50</v>
      </c>
      <c r="O123" s="218"/>
      <c r="P123" s="208" t="s">
        <v>112</v>
      </c>
      <c r="Q123" s="240">
        <f t="shared" si="20"/>
        <v>0</v>
      </c>
      <c r="R123" s="239">
        <v>1</v>
      </c>
      <c r="S123" s="240">
        <f t="shared" si="15"/>
        <v>1</v>
      </c>
      <c r="T123" s="243" t="s">
        <v>48</v>
      </c>
      <c r="U123" s="196" t="str">
        <f t="shared" si="16"/>
        <v>1 Hrs</v>
      </c>
    </row>
    <row r="124" spans="3:21" s="185" customFormat="1" ht="20.25" customHeight="1">
      <c r="C124" s="198">
        <f>D124</f>
        <v>124</v>
      </c>
      <c r="D124" s="203">
        <f t="shared" si="12"/>
        <v>124</v>
      </c>
      <c r="E124" s="209" t="s">
        <v>132</v>
      </c>
      <c r="F124" s="210">
        <f>D120</f>
        <v>120</v>
      </c>
      <c r="G124" s="206"/>
      <c r="H124" s="206"/>
      <c r="I124" s="208"/>
      <c r="J124" s="208"/>
      <c r="K124" s="234"/>
      <c r="L124" s="208"/>
      <c r="M124" s="217"/>
      <c r="N124" s="208"/>
      <c r="O124" s="218"/>
      <c r="P124" s="208"/>
      <c r="Q124" s="240"/>
      <c r="R124" s="239"/>
      <c r="S124" s="240"/>
      <c r="T124" s="216"/>
      <c r="U124" s="196"/>
    </row>
    <row r="125" spans="3:21" s="185" customFormat="1" ht="20.25" customHeight="1">
      <c r="C125" s="198"/>
      <c r="D125" s="203">
        <f t="shared" si="12"/>
        <v>125</v>
      </c>
      <c r="E125" s="207" t="s">
        <v>125</v>
      </c>
      <c r="F125" s="211"/>
      <c r="G125" s="206" t="s">
        <v>121</v>
      </c>
      <c r="H125" s="206"/>
      <c r="I125" s="224" t="s">
        <v>123</v>
      </c>
      <c r="J125" s="208">
        <f>J113</f>
        <v>0</v>
      </c>
      <c r="K125" s="234"/>
      <c r="L125" s="208" t="s">
        <v>50</v>
      </c>
      <c r="M125" s="227" t="e">
        <f>LEFT(J125,SEARCH(" ",J125,1)-1)*K125*0.001</f>
        <v>#VALUE!</v>
      </c>
      <c r="N125" s="208" t="s">
        <v>50</v>
      </c>
      <c r="O125" s="246">
        <v>1</v>
      </c>
      <c r="P125" s="208" t="s">
        <v>112</v>
      </c>
      <c r="Q125" s="240" t="e">
        <f t="shared" ref="Q125:Q127" si="21">M125*O125</f>
        <v>#VALUE!</v>
      </c>
      <c r="R125" s="239">
        <v>1</v>
      </c>
      <c r="S125" s="240" t="e">
        <f t="shared" si="15"/>
        <v>#VALUE!</v>
      </c>
      <c r="T125" s="243" t="s">
        <v>48</v>
      </c>
      <c r="U125" s="196" t="e">
        <f t="shared" si="16"/>
        <v>#VALUE!</v>
      </c>
    </row>
    <row r="126" spans="3:21" s="185" customFormat="1" ht="20.25" customHeight="1">
      <c r="C126" s="198"/>
      <c r="D126" s="203">
        <f t="shared" si="12"/>
        <v>126</v>
      </c>
      <c r="E126" s="207" t="s">
        <v>104</v>
      </c>
      <c r="F126" s="211">
        <f t="shared" si="17"/>
        <v>125</v>
      </c>
      <c r="G126" s="206" t="s">
        <v>121</v>
      </c>
      <c r="H126" s="206"/>
      <c r="I126" s="224">
        <v>18</v>
      </c>
      <c r="J126" s="211">
        <f>J114</f>
        <v>0</v>
      </c>
      <c r="K126" s="234"/>
      <c r="L126" s="208" t="s">
        <v>50</v>
      </c>
      <c r="M126" s="227" t="e">
        <f>LEFT(J126,SEARCH(" ",J126,1)-1)*K126*0.001</f>
        <v>#VALUE!</v>
      </c>
      <c r="N126" s="208" t="s">
        <v>50</v>
      </c>
      <c r="O126" s="246">
        <v>0.5</v>
      </c>
      <c r="P126" s="208" t="s">
        <v>112</v>
      </c>
      <c r="Q126" s="240" t="e">
        <f t="shared" si="21"/>
        <v>#VALUE!</v>
      </c>
      <c r="R126" s="239">
        <v>1</v>
      </c>
      <c r="S126" s="240" t="e">
        <f t="shared" si="15"/>
        <v>#VALUE!</v>
      </c>
      <c r="T126" s="243" t="s">
        <v>48</v>
      </c>
      <c r="U126" s="196" t="e">
        <f t="shared" si="16"/>
        <v>#VALUE!</v>
      </c>
    </row>
    <row r="127" spans="3:21" s="185" customFormat="1" ht="20.25" customHeight="1">
      <c r="C127" s="198"/>
      <c r="D127" s="203">
        <f t="shared" si="12"/>
        <v>127</v>
      </c>
      <c r="E127" s="207" t="s">
        <v>109</v>
      </c>
      <c r="F127" s="211">
        <f t="shared" si="17"/>
        <v>126</v>
      </c>
      <c r="G127" s="206" t="s">
        <v>121</v>
      </c>
      <c r="H127" s="206"/>
      <c r="I127" s="208"/>
      <c r="J127" s="208"/>
      <c r="K127" s="234"/>
      <c r="L127" s="208" t="s">
        <v>50</v>
      </c>
      <c r="M127" s="217">
        <v>1</v>
      </c>
      <c r="N127" s="208" t="s">
        <v>50</v>
      </c>
      <c r="O127" s="218">
        <v>1</v>
      </c>
      <c r="P127" s="208" t="s">
        <v>112</v>
      </c>
      <c r="Q127" s="240">
        <f t="shared" si="21"/>
        <v>1</v>
      </c>
      <c r="R127" s="239">
        <v>1</v>
      </c>
      <c r="S127" s="240">
        <f t="shared" si="15"/>
        <v>2</v>
      </c>
      <c r="T127" s="243" t="s">
        <v>48</v>
      </c>
      <c r="U127" s="196" t="str">
        <f t="shared" si="16"/>
        <v>2 Hrs</v>
      </c>
    </row>
    <row r="128" spans="3:21" s="185" customFormat="1" ht="20.25" customHeight="1">
      <c r="C128" s="198">
        <f t="shared" ref="C128:C129" si="22">D128</f>
        <v>128</v>
      </c>
      <c r="D128" s="203">
        <f t="shared" si="12"/>
        <v>128</v>
      </c>
      <c r="E128" s="212" t="s">
        <v>133</v>
      </c>
      <c r="F128" s="210"/>
      <c r="G128" s="206"/>
      <c r="H128" s="206"/>
      <c r="I128" s="208"/>
      <c r="J128" s="208"/>
      <c r="K128" s="234"/>
      <c r="L128" s="208"/>
      <c r="M128" s="217"/>
      <c r="N128" s="208"/>
      <c r="O128" s="218"/>
      <c r="P128" s="208"/>
      <c r="Q128" s="240"/>
      <c r="R128" s="239"/>
      <c r="S128" s="240"/>
      <c r="T128" s="216"/>
      <c r="U128" s="196"/>
    </row>
    <row r="129" spans="3:21" s="185" customFormat="1" ht="20.25" customHeight="1">
      <c r="C129" s="198">
        <f t="shared" si="22"/>
        <v>129</v>
      </c>
      <c r="D129" s="203">
        <f t="shared" si="12"/>
        <v>129</v>
      </c>
      <c r="E129" s="204" t="s">
        <v>134</v>
      </c>
      <c r="F129" s="210">
        <f>D128</f>
        <v>128</v>
      </c>
      <c r="G129" s="206"/>
      <c r="H129" s="206"/>
      <c r="I129" s="208"/>
      <c r="J129" s="208"/>
      <c r="K129" s="234"/>
      <c r="L129" s="208"/>
      <c r="M129" s="217"/>
      <c r="N129" s="208"/>
      <c r="O129" s="218"/>
      <c r="P129" s="208"/>
      <c r="Q129" s="240"/>
      <c r="R129" s="239"/>
      <c r="S129" s="240"/>
      <c r="T129" s="216"/>
      <c r="U129" s="196"/>
    </row>
    <row r="130" spans="3:21" s="185" customFormat="1" ht="20.25" customHeight="1">
      <c r="C130" s="198"/>
      <c r="D130" s="203">
        <f t="shared" si="12"/>
        <v>130</v>
      </c>
      <c r="E130" s="207" t="s">
        <v>135</v>
      </c>
      <c r="F130" s="211"/>
      <c r="G130" s="206"/>
      <c r="H130" s="206"/>
      <c r="I130" s="208"/>
      <c r="J130" s="208"/>
      <c r="K130" s="234">
        <v>1</v>
      </c>
      <c r="L130" s="208" t="s">
        <v>84</v>
      </c>
      <c r="M130" s="217">
        <v>1</v>
      </c>
      <c r="N130" s="208" t="s">
        <v>84</v>
      </c>
      <c r="O130" s="218">
        <v>4</v>
      </c>
      <c r="P130" s="208" t="s">
        <v>41</v>
      </c>
      <c r="Q130" s="240">
        <f t="shared" ref="Q130" si="23">M130*O130</f>
        <v>4</v>
      </c>
      <c r="R130" s="239">
        <v>0</v>
      </c>
      <c r="S130" s="240">
        <f t="shared" si="15"/>
        <v>4</v>
      </c>
      <c r="T130" s="216" t="s">
        <v>42</v>
      </c>
      <c r="U130" s="196" t="str">
        <f t="shared" si="16"/>
        <v>4 Days</v>
      </c>
    </row>
    <row r="131" spans="3:21" s="185" customFormat="1" ht="20.25" customHeight="1">
      <c r="C131" s="198"/>
      <c r="D131" s="203">
        <f t="shared" ref="D131:D194" si="24">D130+1</f>
        <v>131</v>
      </c>
      <c r="E131" s="207" t="s">
        <v>136</v>
      </c>
      <c r="F131" s="211">
        <f t="shared" si="17"/>
        <v>130</v>
      </c>
      <c r="G131" s="206" t="s">
        <v>44</v>
      </c>
      <c r="H131" s="206"/>
      <c r="I131" s="224">
        <v>16</v>
      </c>
      <c r="J131" s="234"/>
      <c r="K131" s="234">
        <v>1</v>
      </c>
      <c r="L131" s="208" t="s">
        <v>84</v>
      </c>
      <c r="M131" s="227" t="e">
        <f>LEFT(J131,SEARCH(" ",J131,1)-1)*K131</f>
        <v>#VALUE!</v>
      </c>
      <c r="N131" s="208" t="s">
        <v>139</v>
      </c>
      <c r="O131" s="246">
        <v>0.25</v>
      </c>
      <c r="P131" s="208" t="s">
        <v>112</v>
      </c>
      <c r="Q131" s="240" t="e">
        <f t="shared" si="14"/>
        <v>#VALUE!</v>
      </c>
      <c r="R131" s="239">
        <v>1</v>
      </c>
      <c r="S131" s="240" t="e">
        <f t="shared" si="15"/>
        <v>#VALUE!</v>
      </c>
      <c r="T131" s="243" t="s">
        <v>48</v>
      </c>
      <c r="U131" s="196" t="e">
        <f t="shared" si="16"/>
        <v>#VALUE!</v>
      </c>
    </row>
    <row r="132" spans="3:21" s="185" customFormat="1" ht="20.25" customHeight="1">
      <c r="C132" s="198"/>
      <c r="D132" s="203">
        <f t="shared" si="24"/>
        <v>132</v>
      </c>
      <c r="E132" s="207" t="s">
        <v>140</v>
      </c>
      <c r="F132" s="211">
        <f t="shared" si="17"/>
        <v>131</v>
      </c>
      <c r="G132" s="206" t="s">
        <v>44</v>
      </c>
      <c r="H132" s="206"/>
      <c r="I132" s="224">
        <v>12</v>
      </c>
      <c r="J132" s="234"/>
      <c r="K132" s="225">
        <v>1</v>
      </c>
      <c r="L132" s="208" t="s">
        <v>84</v>
      </c>
      <c r="M132" s="227" t="e">
        <f t="shared" ref="M132:M133" si="25">LEFT(J132,SEARCH(" ",J132,1)-1)*K132</f>
        <v>#VALUE!</v>
      </c>
      <c r="N132" s="208" t="s">
        <v>139</v>
      </c>
      <c r="O132" s="246">
        <v>0.25</v>
      </c>
      <c r="P132" s="208" t="s">
        <v>112</v>
      </c>
      <c r="Q132" s="240" t="e">
        <f t="shared" si="14"/>
        <v>#VALUE!</v>
      </c>
      <c r="R132" s="239">
        <v>1</v>
      </c>
      <c r="S132" s="240" t="e">
        <f t="shared" si="15"/>
        <v>#VALUE!</v>
      </c>
      <c r="T132" s="243" t="s">
        <v>48</v>
      </c>
      <c r="U132" s="196" t="e">
        <f t="shared" si="16"/>
        <v>#VALUE!</v>
      </c>
    </row>
    <row r="133" spans="3:21" s="185" customFormat="1" ht="20.25" customHeight="1">
      <c r="C133" s="198"/>
      <c r="D133" s="203">
        <f t="shared" si="24"/>
        <v>133</v>
      </c>
      <c r="E133" s="207" t="s">
        <v>142</v>
      </c>
      <c r="F133" s="211">
        <f t="shared" si="17"/>
        <v>132</v>
      </c>
      <c r="G133" s="206" t="s">
        <v>44</v>
      </c>
      <c r="H133" s="206"/>
      <c r="I133" s="224">
        <v>12</v>
      </c>
      <c r="J133" s="234"/>
      <c r="K133" s="234">
        <v>1</v>
      </c>
      <c r="L133" s="208" t="s">
        <v>84</v>
      </c>
      <c r="M133" s="227" t="e">
        <f t="shared" si="25"/>
        <v>#VALUE!</v>
      </c>
      <c r="N133" s="208" t="s">
        <v>139</v>
      </c>
      <c r="O133" s="246">
        <v>0.25</v>
      </c>
      <c r="P133" s="208" t="s">
        <v>112</v>
      </c>
      <c r="Q133" s="240" t="e">
        <f t="shared" si="14"/>
        <v>#VALUE!</v>
      </c>
      <c r="R133" s="239">
        <v>1</v>
      </c>
      <c r="S133" s="240" t="e">
        <f t="shared" si="15"/>
        <v>#VALUE!</v>
      </c>
      <c r="T133" s="243" t="s">
        <v>48</v>
      </c>
      <c r="U133" s="196" t="e">
        <f t="shared" si="16"/>
        <v>#VALUE!</v>
      </c>
    </row>
    <row r="134" spans="3:21" s="185" customFormat="1" ht="20.25" customHeight="1">
      <c r="C134" s="198">
        <f>D134</f>
        <v>134</v>
      </c>
      <c r="D134" s="203">
        <f t="shared" si="24"/>
        <v>134</v>
      </c>
      <c r="E134" s="204" t="s">
        <v>144</v>
      </c>
      <c r="F134" s="210">
        <f>D129</f>
        <v>129</v>
      </c>
      <c r="G134" s="206"/>
      <c r="H134" s="206"/>
      <c r="I134" s="208"/>
      <c r="J134" s="208"/>
      <c r="K134" s="234"/>
      <c r="L134" s="208"/>
      <c r="M134" s="217"/>
      <c r="N134" s="208"/>
      <c r="O134" s="218"/>
      <c r="P134" s="208"/>
      <c r="Q134" s="240"/>
      <c r="R134" s="239"/>
      <c r="S134" s="240"/>
      <c r="T134" s="216"/>
      <c r="U134" s="196"/>
    </row>
    <row r="135" spans="3:21" s="185" customFormat="1" ht="20.25" customHeight="1">
      <c r="C135" s="198"/>
      <c r="D135" s="203">
        <f t="shared" si="24"/>
        <v>135</v>
      </c>
      <c r="E135" s="207" t="s">
        <v>145</v>
      </c>
      <c r="F135" s="211"/>
      <c r="G135" s="206" t="s">
        <v>52</v>
      </c>
      <c r="H135" s="206"/>
      <c r="I135" s="233">
        <f t="shared" ref="I135:K137" si="26">I131</f>
        <v>16</v>
      </c>
      <c r="J135" s="211">
        <f>J131</f>
        <v>0</v>
      </c>
      <c r="K135" s="225">
        <f t="shared" si="26"/>
        <v>1</v>
      </c>
      <c r="L135" s="208" t="s">
        <v>81</v>
      </c>
      <c r="M135" s="227" t="e">
        <f t="shared" ref="M135:M137" si="27">LEFT(J135,SEARCH(" ",J135,1)-1)*K135</f>
        <v>#VALUE!</v>
      </c>
      <c r="N135" s="208" t="s">
        <v>139</v>
      </c>
      <c r="O135" s="246">
        <v>0.5</v>
      </c>
      <c r="P135" s="208" t="s">
        <v>112</v>
      </c>
      <c r="Q135" s="240" t="e">
        <f t="shared" si="14"/>
        <v>#VALUE!</v>
      </c>
      <c r="R135" s="239">
        <v>1</v>
      </c>
      <c r="S135" s="240" t="e">
        <f t="shared" si="15"/>
        <v>#VALUE!</v>
      </c>
      <c r="T135" s="216" t="s">
        <v>48</v>
      </c>
      <c r="U135" s="196" t="e">
        <f t="shared" si="16"/>
        <v>#VALUE!</v>
      </c>
    </row>
    <row r="136" spans="3:21" s="185" customFormat="1" ht="20.25" customHeight="1">
      <c r="C136" s="198"/>
      <c r="D136" s="203">
        <f t="shared" si="24"/>
        <v>136</v>
      </c>
      <c r="E136" s="207" t="s">
        <v>146</v>
      </c>
      <c r="F136" s="211">
        <f t="shared" si="17"/>
        <v>135</v>
      </c>
      <c r="G136" s="206" t="s">
        <v>52</v>
      </c>
      <c r="H136" s="206"/>
      <c r="I136" s="233">
        <f t="shared" si="26"/>
        <v>12</v>
      </c>
      <c r="J136" s="211">
        <f>J132</f>
        <v>0</v>
      </c>
      <c r="K136" s="225">
        <f t="shared" si="26"/>
        <v>1</v>
      </c>
      <c r="L136" s="208" t="s">
        <v>81</v>
      </c>
      <c r="M136" s="227" t="e">
        <f t="shared" si="27"/>
        <v>#VALUE!</v>
      </c>
      <c r="N136" s="208" t="s">
        <v>139</v>
      </c>
      <c r="O136" s="246">
        <v>0.5</v>
      </c>
      <c r="P136" s="208" t="s">
        <v>112</v>
      </c>
      <c r="Q136" s="240" t="e">
        <f t="shared" si="14"/>
        <v>#VALUE!</v>
      </c>
      <c r="R136" s="239">
        <v>1</v>
      </c>
      <c r="S136" s="240" t="e">
        <f t="shared" si="15"/>
        <v>#VALUE!</v>
      </c>
      <c r="T136" s="216" t="s">
        <v>48</v>
      </c>
      <c r="U136" s="196" t="e">
        <f t="shared" si="16"/>
        <v>#VALUE!</v>
      </c>
    </row>
    <row r="137" spans="3:21" s="185" customFormat="1" ht="20.25" customHeight="1">
      <c r="C137" s="198"/>
      <c r="D137" s="203">
        <f t="shared" si="24"/>
        <v>137</v>
      </c>
      <c r="E137" s="207" t="s">
        <v>147</v>
      </c>
      <c r="F137" s="211">
        <f t="shared" si="17"/>
        <v>136</v>
      </c>
      <c r="G137" s="206" t="s">
        <v>52</v>
      </c>
      <c r="H137" s="206"/>
      <c r="I137" s="233">
        <f t="shared" si="26"/>
        <v>12</v>
      </c>
      <c r="J137" s="211">
        <f>J133</f>
        <v>0</v>
      </c>
      <c r="K137" s="225">
        <f t="shared" si="26"/>
        <v>1</v>
      </c>
      <c r="L137" s="208" t="s">
        <v>81</v>
      </c>
      <c r="M137" s="227" t="e">
        <f t="shared" si="27"/>
        <v>#VALUE!</v>
      </c>
      <c r="N137" s="208" t="s">
        <v>139</v>
      </c>
      <c r="O137" s="246">
        <f>VLOOKUP(I137,BM!$A$2:$X$104,3,FALSE)</f>
        <v>0.25</v>
      </c>
      <c r="P137" s="208" t="s">
        <v>112</v>
      </c>
      <c r="Q137" s="240" t="e">
        <f t="shared" si="14"/>
        <v>#VALUE!</v>
      </c>
      <c r="R137" s="239">
        <v>1</v>
      </c>
      <c r="S137" s="240" t="e">
        <f t="shared" si="15"/>
        <v>#VALUE!</v>
      </c>
      <c r="T137" s="216" t="s">
        <v>48</v>
      </c>
      <c r="U137" s="196" t="e">
        <f t="shared" si="16"/>
        <v>#VALUE!</v>
      </c>
    </row>
    <row r="138" spans="3:21" s="185" customFormat="1" ht="20.25" customHeight="1">
      <c r="C138" s="198"/>
      <c r="D138" s="203">
        <f t="shared" si="24"/>
        <v>138</v>
      </c>
      <c r="E138" s="207" t="s">
        <v>148</v>
      </c>
      <c r="F138" s="211">
        <f t="shared" si="17"/>
        <v>137</v>
      </c>
      <c r="G138" s="206" t="s">
        <v>149</v>
      </c>
      <c r="H138" s="206"/>
      <c r="I138" s="224"/>
      <c r="J138" s="208"/>
      <c r="K138" s="234"/>
      <c r="L138" s="208"/>
      <c r="M138" s="235" t="e">
        <f>M135+M136+M137</f>
        <v>#VALUE!</v>
      </c>
      <c r="N138" s="208" t="s">
        <v>139</v>
      </c>
      <c r="O138" s="246" t="e">
        <f>VLOOKUP(I138,BM!$A$2:$X$104,4,FALSE)</f>
        <v>#N/A</v>
      </c>
      <c r="P138" s="208" t="s">
        <v>112</v>
      </c>
      <c r="Q138" s="240" t="e">
        <f t="shared" si="14"/>
        <v>#VALUE!</v>
      </c>
      <c r="R138" s="239">
        <v>1</v>
      </c>
      <c r="S138" s="240" t="e">
        <f t="shared" si="15"/>
        <v>#VALUE!</v>
      </c>
      <c r="T138" s="216" t="s">
        <v>48</v>
      </c>
      <c r="U138" s="196" t="e">
        <f t="shared" si="16"/>
        <v>#VALUE!</v>
      </c>
    </row>
    <row r="139" spans="3:21" s="185" customFormat="1" ht="20.25" customHeight="1">
      <c r="C139" s="198">
        <f>D139</f>
        <v>139</v>
      </c>
      <c r="D139" s="203">
        <f t="shared" si="24"/>
        <v>139</v>
      </c>
      <c r="E139" s="204" t="s">
        <v>150</v>
      </c>
      <c r="F139" s="210">
        <f>D134</f>
        <v>134</v>
      </c>
      <c r="G139" s="206"/>
      <c r="H139" s="206"/>
      <c r="I139" s="208"/>
      <c r="J139" s="208"/>
      <c r="K139" s="234"/>
      <c r="L139" s="208"/>
      <c r="M139" s="217"/>
      <c r="N139" s="208"/>
      <c r="O139" s="218"/>
      <c r="P139" s="208"/>
      <c r="Q139" s="240"/>
      <c r="R139" s="239"/>
      <c r="S139" s="240"/>
      <c r="T139" s="216"/>
      <c r="U139" s="196"/>
    </row>
    <row r="140" spans="3:21" s="185" customFormat="1" ht="20.25" customHeight="1">
      <c r="C140" s="198"/>
      <c r="D140" s="203">
        <f t="shared" si="24"/>
        <v>140</v>
      </c>
      <c r="E140" s="207" t="s">
        <v>151</v>
      </c>
      <c r="F140" s="211"/>
      <c r="G140" s="206" t="s">
        <v>152</v>
      </c>
      <c r="H140" s="206"/>
      <c r="I140" s="208"/>
      <c r="J140" s="208"/>
      <c r="K140" s="234">
        <v>1</v>
      </c>
      <c r="L140" s="208" t="s">
        <v>84</v>
      </c>
      <c r="M140" s="217">
        <v>1</v>
      </c>
      <c r="N140" s="208" t="s">
        <v>39</v>
      </c>
      <c r="O140" s="218">
        <v>8</v>
      </c>
      <c r="P140" s="208" t="s">
        <v>112</v>
      </c>
      <c r="Q140" s="240">
        <f t="shared" si="14"/>
        <v>8</v>
      </c>
      <c r="R140" s="239">
        <v>1</v>
      </c>
      <c r="S140" s="240">
        <f t="shared" si="15"/>
        <v>9</v>
      </c>
      <c r="T140" s="216" t="s">
        <v>48</v>
      </c>
      <c r="U140" s="196" t="str">
        <f t="shared" si="16"/>
        <v>9 Hrs</v>
      </c>
    </row>
    <row r="141" spans="3:21" s="185" customFormat="1" ht="20.25" customHeight="1">
      <c r="C141" s="198"/>
      <c r="D141" s="203">
        <f t="shared" si="24"/>
        <v>141</v>
      </c>
      <c r="E141" s="207" t="s">
        <v>153</v>
      </c>
      <c r="F141" s="211">
        <f t="shared" si="17"/>
        <v>140</v>
      </c>
      <c r="G141" s="206" t="s">
        <v>115</v>
      </c>
      <c r="H141" s="206"/>
      <c r="I141" s="224">
        <v>16</v>
      </c>
      <c r="J141" s="234"/>
      <c r="K141" s="234">
        <v>1</v>
      </c>
      <c r="L141" s="208" t="s">
        <v>84</v>
      </c>
      <c r="M141" s="235">
        <v>4</v>
      </c>
      <c r="N141" s="208" t="s">
        <v>39</v>
      </c>
      <c r="O141" s="229">
        <f>VLOOKUP(I141,BM!$A$2:$X$104,22,FALSE)</f>
        <v>2.8</v>
      </c>
      <c r="P141" s="208" t="s">
        <v>112</v>
      </c>
      <c r="Q141" s="240">
        <f t="shared" si="14"/>
        <v>11.2</v>
      </c>
      <c r="R141" s="239">
        <v>1</v>
      </c>
      <c r="S141" s="240">
        <f t="shared" si="15"/>
        <v>12.2</v>
      </c>
      <c r="T141" s="216" t="s">
        <v>48</v>
      </c>
      <c r="U141" s="196" t="str">
        <f t="shared" si="16"/>
        <v>12.2 Hrs</v>
      </c>
    </row>
    <row r="142" spans="3:21" s="185" customFormat="1" ht="20.25" customHeight="1">
      <c r="C142" s="198"/>
      <c r="D142" s="203">
        <f t="shared" si="24"/>
        <v>142</v>
      </c>
      <c r="E142" s="207" t="s">
        <v>154</v>
      </c>
      <c r="F142" s="211">
        <f t="shared" si="17"/>
        <v>141</v>
      </c>
      <c r="G142" s="206" t="s">
        <v>152</v>
      </c>
      <c r="H142" s="206"/>
      <c r="I142" s="208"/>
      <c r="J142" s="208"/>
      <c r="K142" s="234">
        <v>1</v>
      </c>
      <c r="L142" s="208" t="s">
        <v>84</v>
      </c>
      <c r="M142" s="217">
        <v>1</v>
      </c>
      <c r="N142" s="208" t="s">
        <v>39</v>
      </c>
      <c r="O142" s="218">
        <v>8</v>
      </c>
      <c r="P142" s="208" t="s">
        <v>112</v>
      </c>
      <c r="Q142" s="240">
        <f t="shared" si="14"/>
        <v>8</v>
      </c>
      <c r="R142" s="239">
        <v>1</v>
      </c>
      <c r="S142" s="240">
        <f t="shared" si="15"/>
        <v>9</v>
      </c>
      <c r="T142" s="216" t="s">
        <v>48</v>
      </c>
      <c r="U142" s="196" t="str">
        <f t="shared" si="16"/>
        <v>9 Hrs</v>
      </c>
    </row>
    <row r="143" spans="3:21" s="185" customFormat="1" ht="20.25" customHeight="1">
      <c r="C143" s="198"/>
      <c r="D143" s="203">
        <f t="shared" si="24"/>
        <v>143</v>
      </c>
      <c r="E143" s="207" t="s">
        <v>155</v>
      </c>
      <c r="F143" s="211">
        <f t="shared" si="17"/>
        <v>142</v>
      </c>
      <c r="G143" s="206" t="s">
        <v>156</v>
      </c>
      <c r="H143" s="206"/>
      <c r="I143" s="224">
        <v>12</v>
      </c>
      <c r="J143" s="234"/>
      <c r="K143" s="234">
        <v>1</v>
      </c>
      <c r="L143" s="208" t="s">
        <v>84</v>
      </c>
      <c r="M143" s="235">
        <v>24.8</v>
      </c>
      <c r="N143" s="208" t="s">
        <v>39</v>
      </c>
      <c r="O143" s="229">
        <f>VLOOKUP(I143,BM!$A$2:$X$104,22,FALSE)</f>
        <v>1.6</v>
      </c>
      <c r="P143" s="208" t="s">
        <v>112</v>
      </c>
      <c r="Q143" s="240">
        <f t="shared" si="14"/>
        <v>39.680000000000007</v>
      </c>
      <c r="R143" s="239">
        <v>1</v>
      </c>
      <c r="S143" s="240">
        <f t="shared" si="15"/>
        <v>40.68</v>
      </c>
      <c r="T143" s="216" t="s">
        <v>48</v>
      </c>
      <c r="U143" s="196" t="str">
        <f t="shared" si="16"/>
        <v>40.68 Hrs</v>
      </c>
    </row>
    <row r="144" spans="3:21" s="185" customFormat="1" ht="20.25" customHeight="1">
      <c r="C144" s="198">
        <f>D144</f>
        <v>144</v>
      </c>
      <c r="D144" s="203">
        <f t="shared" si="24"/>
        <v>144</v>
      </c>
      <c r="E144" s="204" t="s">
        <v>157</v>
      </c>
      <c r="F144" s="210">
        <f>D139</f>
        <v>139</v>
      </c>
      <c r="G144" s="206"/>
      <c r="H144" s="206"/>
      <c r="I144" s="208"/>
      <c r="J144" s="208"/>
      <c r="K144" s="234"/>
      <c r="L144" s="208"/>
      <c r="M144" s="217"/>
      <c r="N144" s="208"/>
      <c r="O144" s="218"/>
      <c r="P144" s="208"/>
      <c r="Q144" s="240"/>
      <c r="R144" s="239"/>
      <c r="S144" s="240"/>
      <c r="T144" s="216"/>
      <c r="U144" s="196"/>
    </row>
    <row r="145" spans="3:21" s="185" customFormat="1" ht="20.25" customHeight="1">
      <c r="C145" s="198"/>
      <c r="D145" s="203">
        <f t="shared" si="24"/>
        <v>145</v>
      </c>
      <c r="E145" s="207" t="s">
        <v>158</v>
      </c>
      <c r="F145" s="211"/>
      <c r="G145" s="206" t="s">
        <v>159</v>
      </c>
      <c r="H145" s="206"/>
      <c r="I145" s="208"/>
      <c r="J145" s="208"/>
      <c r="K145" s="234">
        <v>1</v>
      </c>
      <c r="L145" s="208" t="s">
        <v>160</v>
      </c>
      <c r="M145" s="217">
        <v>1</v>
      </c>
      <c r="N145" s="208" t="s">
        <v>160</v>
      </c>
      <c r="O145" s="218">
        <v>4</v>
      </c>
      <c r="P145" s="208" t="s">
        <v>41</v>
      </c>
      <c r="Q145" s="240">
        <f t="shared" si="14"/>
        <v>4</v>
      </c>
      <c r="R145" s="239"/>
      <c r="S145" s="240">
        <f t="shared" si="15"/>
        <v>4</v>
      </c>
      <c r="T145" s="216" t="s">
        <v>42</v>
      </c>
      <c r="U145" s="196" t="str">
        <f t="shared" si="16"/>
        <v>4 Days</v>
      </c>
    </row>
    <row r="146" spans="3:21" s="185" customFormat="1" ht="20.25" customHeight="1">
      <c r="C146" s="198"/>
      <c r="D146" s="203">
        <f t="shared" si="24"/>
        <v>146</v>
      </c>
      <c r="E146" s="207" t="s">
        <v>161</v>
      </c>
      <c r="F146" s="211">
        <f t="shared" si="17"/>
        <v>145</v>
      </c>
      <c r="G146" s="206" t="s">
        <v>44</v>
      </c>
      <c r="H146" s="206"/>
      <c r="I146" s="208"/>
      <c r="J146" s="208"/>
      <c r="K146" s="234">
        <v>6</v>
      </c>
      <c r="L146" s="208" t="s">
        <v>81</v>
      </c>
      <c r="M146" s="217">
        <v>6</v>
      </c>
      <c r="N146" s="208" t="s">
        <v>81</v>
      </c>
      <c r="O146" s="218">
        <v>0.5</v>
      </c>
      <c r="P146" s="208" t="s">
        <v>162</v>
      </c>
      <c r="Q146" s="240">
        <f t="shared" si="14"/>
        <v>3</v>
      </c>
      <c r="R146" s="239"/>
      <c r="S146" s="240">
        <f t="shared" si="15"/>
        <v>3</v>
      </c>
      <c r="T146" s="216" t="s">
        <v>48</v>
      </c>
      <c r="U146" s="196" t="str">
        <f t="shared" si="16"/>
        <v>3 Hrs</v>
      </c>
    </row>
    <row r="147" spans="3:21" s="185" customFormat="1" ht="20.25" customHeight="1">
      <c r="C147" s="198"/>
      <c r="D147" s="203">
        <f t="shared" si="24"/>
        <v>147</v>
      </c>
      <c r="E147" s="207" t="s">
        <v>163</v>
      </c>
      <c r="F147" s="211">
        <f t="shared" si="17"/>
        <v>146</v>
      </c>
      <c r="G147" s="206" t="s">
        <v>44</v>
      </c>
      <c r="H147" s="206"/>
      <c r="I147" s="224">
        <v>16</v>
      </c>
      <c r="J147" s="208"/>
      <c r="K147" s="234">
        <v>4</v>
      </c>
      <c r="L147" s="208" t="s">
        <v>81</v>
      </c>
      <c r="M147" s="235">
        <f>K147</f>
        <v>4</v>
      </c>
      <c r="N147" s="208" t="s">
        <v>81</v>
      </c>
      <c r="O147" s="218">
        <v>0.5</v>
      </c>
      <c r="P147" s="208" t="s">
        <v>162</v>
      </c>
      <c r="Q147" s="240">
        <f t="shared" si="14"/>
        <v>2</v>
      </c>
      <c r="R147" s="239"/>
      <c r="S147" s="240">
        <f t="shared" si="15"/>
        <v>2</v>
      </c>
      <c r="T147" s="216" t="s">
        <v>48</v>
      </c>
      <c r="U147" s="196" t="str">
        <f t="shared" si="16"/>
        <v>2 Hrs</v>
      </c>
    </row>
    <row r="148" spans="3:21" s="185" customFormat="1" ht="20.25" customHeight="1">
      <c r="C148" s="198"/>
      <c r="D148" s="203">
        <f t="shared" si="24"/>
        <v>148</v>
      </c>
      <c r="E148" s="207" t="s">
        <v>164</v>
      </c>
      <c r="F148" s="211">
        <f t="shared" si="17"/>
        <v>147</v>
      </c>
      <c r="G148" s="206" t="s">
        <v>44</v>
      </c>
      <c r="H148" s="206"/>
      <c r="I148" s="224">
        <v>16</v>
      </c>
      <c r="J148" s="208"/>
      <c r="K148" s="234">
        <v>4</v>
      </c>
      <c r="L148" s="208" t="s">
        <v>81</v>
      </c>
      <c r="M148" s="235">
        <f>K148</f>
        <v>4</v>
      </c>
      <c r="N148" s="208" t="s">
        <v>81</v>
      </c>
      <c r="O148" s="218">
        <v>0.5</v>
      </c>
      <c r="P148" s="208" t="s">
        <v>162</v>
      </c>
      <c r="Q148" s="240">
        <f t="shared" si="14"/>
        <v>2</v>
      </c>
      <c r="R148" s="239"/>
      <c r="S148" s="240">
        <f t="shared" si="15"/>
        <v>2</v>
      </c>
      <c r="T148" s="216" t="s">
        <v>48</v>
      </c>
      <c r="U148" s="196" t="str">
        <f t="shared" si="16"/>
        <v>2 Hrs</v>
      </c>
    </row>
    <row r="149" spans="3:21" s="185" customFormat="1" ht="20.25" customHeight="1">
      <c r="C149" s="198"/>
      <c r="D149" s="203">
        <f t="shared" si="24"/>
        <v>149</v>
      </c>
      <c r="E149" s="207" t="s">
        <v>165</v>
      </c>
      <c r="F149" s="211">
        <f t="shared" si="17"/>
        <v>148</v>
      </c>
      <c r="G149" s="206" t="s">
        <v>44</v>
      </c>
      <c r="H149" s="206"/>
      <c r="I149" s="224">
        <v>30</v>
      </c>
      <c r="J149" s="208"/>
      <c r="K149" s="234">
        <v>2</v>
      </c>
      <c r="L149" s="208" t="s">
        <v>81</v>
      </c>
      <c r="M149" s="235">
        <f>K149</f>
        <v>2</v>
      </c>
      <c r="N149" s="208" t="s">
        <v>81</v>
      </c>
      <c r="O149" s="218">
        <v>0.5</v>
      </c>
      <c r="P149" s="208" t="s">
        <v>162</v>
      </c>
      <c r="Q149" s="240">
        <f t="shared" si="14"/>
        <v>1</v>
      </c>
      <c r="R149" s="239"/>
      <c r="S149" s="240">
        <f t="shared" si="15"/>
        <v>1</v>
      </c>
      <c r="T149" s="216" t="s">
        <v>48</v>
      </c>
      <c r="U149" s="196" t="str">
        <f t="shared" si="16"/>
        <v>1 Hrs</v>
      </c>
    </row>
    <row r="150" spans="3:21" s="185" customFormat="1" ht="20.25" customHeight="1">
      <c r="C150" s="198"/>
      <c r="D150" s="203">
        <f t="shared" si="24"/>
        <v>150</v>
      </c>
      <c r="E150" s="207" t="s">
        <v>166</v>
      </c>
      <c r="F150" s="211">
        <f t="shared" si="17"/>
        <v>149</v>
      </c>
      <c r="G150" s="206" t="s">
        <v>52</v>
      </c>
      <c r="H150" s="206"/>
      <c r="I150" s="208"/>
      <c r="J150" s="208"/>
      <c r="K150" s="234">
        <v>6</v>
      </c>
      <c r="L150" s="208" t="s">
        <v>81</v>
      </c>
      <c r="M150" s="235">
        <f>K150</f>
        <v>6</v>
      </c>
      <c r="N150" s="208" t="s">
        <v>81</v>
      </c>
      <c r="O150" s="218">
        <v>0.5</v>
      </c>
      <c r="P150" s="208" t="s">
        <v>162</v>
      </c>
      <c r="Q150" s="240">
        <f t="shared" si="14"/>
        <v>3</v>
      </c>
      <c r="R150" s="239"/>
      <c r="S150" s="240">
        <f t="shared" si="15"/>
        <v>3</v>
      </c>
      <c r="T150" s="216" t="s">
        <v>48</v>
      </c>
      <c r="U150" s="196" t="str">
        <f t="shared" si="16"/>
        <v>3 Hrs</v>
      </c>
    </row>
    <row r="151" spans="3:21" s="185" customFormat="1" ht="20.25" customHeight="1">
      <c r="C151" s="198"/>
      <c r="D151" s="203">
        <f t="shared" si="24"/>
        <v>151</v>
      </c>
      <c r="E151" s="207" t="s">
        <v>167</v>
      </c>
      <c r="F151" s="211">
        <f t="shared" si="17"/>
        <v>150</v>
      </c>
      <c r="G151" s="206" t="s">
        <v>52</v>
      </c>
      <c r="H151" s="206"/>
      <c r="I151" s="208"/>
      <c r="J151" s="208"/>
      <c r="K151" s="234">
        <v>4</v>
      </c>
      <c r="L151" s="208" t="s">
        <v>81</v>
      </c>
      <c r="M151" s="235">
        <f t="shared" ref="M151:M158" si="28">K151</f>
        <v>4</v>
      </c>
      <c r="N151" s="208" t="s">
        <v>81</v>
      </c>
      <c r="O151" s="218">
        <v>0.5</v>
      </c>
      <c r="P151" s="208" t="s">
        <v>162</v>
      </c>
      <c r="Q151" s="240">
        <f t="shared" si="14"/>
        <v>2</v>
      </c>
      <c r="R151" s="239"/>
      <c r="S151" s="240">
        <f t="shared" si="15"/>
        <v>2</v>
      </c>
      <c r="T151" s="216" t="s">
        <v>48</v>
      </c>
      <c r="U151" s="196" t="str">
        <f t="shared" si="16"/>
        <v>2 Hrs</v>
      </c>
    </row>
    <row r="152" spans="3:21" s="185" customFormat="1" ht="20.25" customHeight="1">
      <c r="C152" s="198"/>
      <c r="D152" s="203">
        <f t="shared" si="24"/>
        <v>152</v>
      </c>
      <c r="E152" s="207" t="s">
        <v>168</v>
      </c>
      <c r="F152" s="211">
        <f t="shared" si="17"/>
        <v>151</v>
      </c>
      <c r="G152" s="206" t="s">
        <v>44</v>
      </c>
      <c r="H152" s="206"/>
      <c r="I152" s="208"/>
      <c r="J152" s="208"/>
      <c r="K152" s="234">
        <v>6</v>
      </c>
      <c r="L152" s="208" t="s">
        <v>81</v>
      </c>
      <c r="M152" s="235">
        <f t="shared" si="28"/>
        <v>6</v>
      </c>
      <c r="N152" s="208" t="s">
        <v>81</v>
      </c>
      <c r="O152" s="218">
        <v>0.5</v>
      </c>
      <c r="P152" s="208" t="s">
        <v>162</v>
      </c>
      <c r="Q152" s="240">
        <f t="shared" si="14"/>
        <v>3</v>
      </c>
      <c r="R152" s="239"/>
      <c r="S152" s="240">
        <f t="shared" si="15"/>
        <v>3</v>
      </c>
      <c r="T152" s="216" t="s">
        <v>48</v>
      </c>
      <c r="U152" s="196" t="str">
        <f t="shared" si="16"/>
        <v>3 Hrs</v>
      </c>
    </row>
    <row r="153" spans="3:21" s="185" customFormat="1" ht="20.25" customHeight="1">
      <c r="C153" s="198"/>
      <c r="D153" s="203">
        <f t="shared" si="24"/>
        <v>153</v>
      </c>
      <c r="E153" s="207" t="s">
        <v>169</v>
      </c>
      <c r="F153" s="211">
        <f t="shared" si="17"/>
        <v>152</v>
      </c>
      <c r="G153" s="206" t="s">
        <v>61</v>
      </c>
      <c r="H153" s="206"/>
      <c r="I153" s="208"/>
      <c r="J153" s="208"/>
      <c r="K153" s="234">
        <v>10</v>
      </c>
      <c r="L153" s="208" t="s">
        <v>81</v>
      </c>
      <c r="M153" s="235">
        <f t="shared" si="28"/>
        <v>10</v>
      </c>
      <c r="N153" s="208" t="s">
        <v>81</v>
      </c>
      <c r="O153" s="218">
        <v>0.5</v>
      </c>
      <c r="P153" s="208" t="s">
        <v>162</v>
      </c>
      <c r="Q153" s="240">
        <f t="shared" si="14"/>
        <v>5</v>
      </c>
      <c r="R153" s="239"/>
      <c r="S153" s="240">
        <f t="shared" si="15"/>
        <v>5</v>
      </c>
      <c r="T153" s="216" t="s">
        <v>48</v>
      </c>
      <c r="U153" s="196" t="str">
        <f t="shared" si="16"/>
        <v>5 Hrs</v>
      </c>
    </row>
    <row r="154" spans="3:21" s="185" customFormat="1" ht="20.25" customHeight="1">
      <c r="C154" s="198"/>
      <c r="D154" s="203">
        <f t="shared" si="24"/>
        <v>154</v>
      </c>
      <c r="E154" s="207" t="s">
        <v>170</v>
      </c>
      <c r="F154" s="211">
        <f t="shared" si="17"/>
        <v>153</v>
      </c>
      <c r="G154" s="206" t="s">
        <v>61</v>
      </c>
      <c r="H154" s="206"/>
      <c r="I154" s="208"/>
      <c r="J154" s="208"/>
      <c r="K154" s="234">
        <v>2</v>
      </c>
      <c r="L154" s="208" t="s">
        <v>81</v>
      </c>
      <c r="M154" s="235">
        <f t="shared" si="28"/>
        <v>2</v>
      </c>
      <c r="N154" s="208" t="s">
        <v>81</v>
      </c>
      <c r="O154" s="218">
        <v>0.5</v>
      </c>
      <c r="P154" s="208" t="s">
        <v>162</v>
      </c>
      <c r="Q154" s="240">
        <f t="shared" si="14"/>
        <v>1</v>
      </c>
      <c r="R154" s="239"/>
      <c r="S154" s="240">
        <f t="shared" si="15"/>
        <v>1</v>
      </c>
      <c r="T154" s="216" t="s">
        <v>48</v>
      </c>
      <c r="U154" s="196" t="str">
        <f t="shared" si="16"/>
        <v>1 Hrs</v>
      </c>
    </row>
    <row r="155" spans="3:21" s="185" customFormat="1" ht="20.25" customHeight="1">
      <c r="C155" s="198"/>
      <c r="D155" s="203">
        <f t="shared" si="24"/>
        <v>155</v>
      </c>
      <c r="E155" s="207" t="s">
        <v>171</v>
      </c>
      <c r="F155" s="211">
        <f t="shared" si="17"/>
        <v>154</v>
      </c>
      <c r="G155" s="206" t="s">
        <v>172</v>
      </c>
      <c r="H155" s="206"/>
      <c r="I155" s="208"/>
      <c r="J155" s="208"/>
      <c r="K155" s="234">
        <v>2</v>
      </c>
      <c r="L155" s="208" t="s">
        <v>81</v>
      </c>
      <c r="M155" s="235">
        <f t="shared" si="28"/>
        <v>2</v>
      </c>
      <c r="N155" s="208" t="s">
        <v>81</v>
      </c>
      <c r="O155" s="218">
        <v>0.5</v>
      </c>
      <c r="P155" s="208" t="s">
        <v>162</v>
      </c>
      <c r="Q155" s="240">
        <f t="shared" si="14"/>
        <v>1</v>
      </c>
      <c r="R155" s="239"/>
      <c r="S155" s="240">
        <f t="shared" si="15"/>
        <v>1</v>
      </c>
      <c r="T155" s="216" t="s">
        <v>48</v>
      </c>
      <c r="U155" s="196" t="str">
        <f t="shared" si="16"/>
        <v>1 Hrs</v>
      </c>
    </row>
    <row r="156" spans="3:21" s="185" customFormat="1" ht="20.25" customHeight="1">
      <c r="C156" s="198"/>
      <c r="D156" s="203">
        <f t="shared" si="24"/>
        <v>156</v>
      </c>
      <c r="E156" s="207" t="s">
        <v>173</v>
      </c>
      <c r="F156" s="211">
        <f t="shared" si="17"/>
        <v>155</v>
      </c>
      <c r="G156" s="206" t="s">
        <v>115</v>
      </c>
      <c r="H156" s="206"/>
      <c r="I156" s="208"/>
      <c r="J156" s="208"/>
      <c r="K156" s="234">
        <v>2</v>
      </c>
      <c r="L156" s="208" t="s">
        <v>81</v>
      </c>
      <c r="M156" s="235">
        <f t="shared" si="28"/>
        <v>2</v>
      </c>
      <c r="N156" s="208" t="s">
        <v>81</v>
      </c>
      <c r="O156" s="218">
        <v>0.5</v>
      </c>
      <c r="P156" s="208" t="s">
        <v>162</v>
      </c>
      <c r="Q156" s="240">
        <f t="shared" si="14"/>
        <v>1</v>
      </c>
      <c r="R156" s="239"/>
      <c r="S156" s="240">
        <f t="shared" si="15"/>
        <v>1</v>
      </c>
      <c r="T156" s="216" t="s">
        <v>48</v>
      </c>
      <c r="U156" s="196" t="str">
        <f t="shared" si="16"/>
        <v>1 Hrs</v>
      </c>
    </row>
    <row r="157" spans="3:21" s="185" customFormat="1" ht="20.25" customHeight="1">
      <c r="C157" s="198"/>
      <c r="D157" s="203">
        <f t="shared" si="24"/>
        <v>157</v>
      </c>
      <c r="E157" s="207" t="s">
        <v>174</v>
      </c>
      <c r="F157" s="211">
        <f t="shared" si="17"/>
        <v>156</v>
      </c>
      <c r="G157" s="206" t="s">
        <v>115</v>
      </c>
      <c r="H157" s="206"/>
      <c r="I157" s="208"/>
      <c r="J157" s="208"/>
      <c r="K157" s="234">
        <v>2</v>
      </c>
      <c r="L157" s="208" t="s">
        <v>81</v>
      </c>
      <c r="M157" s="235">
        <f t="shared" si="28"/>
        <v>2</v>
      </c>
      <c r="N157" s="208" t="s">
        <v>81</v>
      </c>
      <c r="O157" s="218">
        <v>0.5</v>
      </c>
      <c r="P157" s="208" t="s">
        <v>162</v>
      </c>
      <c r="Q157" s="240">
        <f t="shared" ref="Q157:Q220" si="29">M157*O157</f>
        <v>1</v>
      </c>
      <c r="R157" s="239"/>
      <c r="S157" s="240">
        <f t="shared" ref="S157:S220" si="30">ROUND(Q157+R157,2)</f>
        <v>1</v>
      </c>
      <c r="T157" s="216" t="s">
        <v>48</v>
      </c>
      <c r="U157" s="196" t="str">
        <f t="shared" ref="U157:U220" si="31">CONCATENATE(S157," ",T157)</f>
        <v>1 Hrs</v>
      </c>
    </row>
    <row r="158" spans="3:21" s="185" customFormat="1" ht="20.25" customHeight="1">
      <c r="C158" s="198"/>
      <c r="D158" s="203">
        <f t="shared" si="24"/>
        <v>158</v>
      </c>
      <c r="E158" s="207" t="s">
        <v>175</v>
      </c>
      <c r="F158" s="211">
        <f t="shared" ref="F158:F221" si="32">D157</f>
        <v>157</v>
      </c>
      <c r="G158" s="206" t="s">
        <v>44</v>
      </c>
      <c r="H158" s="206"/>
      <c r="I158" s="208"/>
      <c r="J158" s="208"/>
      <c r="K158" s="234">
        <v>4</v>
      </c>
      <c r="L158" s="208" t="s">
        <v>81</v>
      </c>
      <c r="M158" s="235">
        <f t="shared" si="28"/>
        <v>4</v>
      </c>
      <c r="N158" s="208" t="s">
        <v>81</v>
      </c>
      <c r="O158" s="218">
        <v>0.5</v>
      </c>
      <c r="P158" s="208" t="s">
        <v>162</v>
      </c>
      <c r="Q158" s="240">
        <f t="shared" si="29"/>
        <v>2</v>
      </c>
      <c r="R158" s="239"/>
      <c r="S158" s="240">
        <f t="shared" si="30"/>
        <v>2</v>
      </c>
      <c r="T158" s="216" t="s">
        <v>48</v>
      </c>
      <c r="U158" s="196" t="str">
        <f t="shared" si="31"/>
        <v>2 Hrs</v>
      </c>
    </row>
    <row r="159" spans="3:21" s="185" customFormat="1" ht="20.25" customHeight="1">
      <c r="C159" s="198">
        <f>D159</f>
        <v>159</v>
      </c>
      <c r="D159" s="203">
        <f t="shared" si="24"/>
        <v>159</v>
      </c>
      <c r="E159" s="204" t="s">
        <v>176</v>
      </c>
      <c r="F159" s="210">
        <f>D144</f>
        <v>144</v>
      </c>
      <c r="G159" s="206"/>
      <c r="H159" s="206"/>
      <c r="I159" s="208"/>
      <c r="J159" s="208"/>
      <c r="K159" s="234"/>
      <c r="L159" s="208"/>
      <c r="M159" s="217"/>
      <c r="N159" s="208"/>
      <c r="O159" s="218"/>
      <c r="P159" s="208"/>
      <c r="Q159" s="240"/>
      <c r="R159" s="239"/>
      <c r="S159" s="240"/>
      <c r="T159" s="216"/>
      <c r="U159" s="196"/>
    </row>
    <row r="160" spans="3:21" s="185" customFormat="1" ht="20.25" customHeight="1">
      <c r="C160" s="198"/>
      <c r="D160" s="203">
        <f t="shared" si="24"/>
        <v>160</v>
      </c>
      <c r="E160" s="207" t="s">
        <v>135</v>
      </c>
      <c r="F160" s="211"/>
      <c r="G160" s="206"/>
      <c r="H160" s="206"/>
      <c r="I160" s="208"/>
      <c r="J160" s="208"/>
      <c r="K160" s="234">
        <v>1</v>
      </c>
      <c r="L160" s="208" t="s">
        <v>160</v>
      </c>
      <c r="M160" s="217">
        <v>1</v>
      </c>
      <c r="N160" s="208" t="s">
        <v>160</v>
      </c>
      <c r="O160" s="218">
        <v>4</v>
      </c>
      <c r="P160" s="208" t="s">
        <v>177</v>
      </c>
      <c r="Q160" s="240">
        <f t="shared" si="29"/>
        <v>4</v>
      </c>
      <c r="R160" s="239"/>
      <c r="S160" s="240">
        <f t="shared" si="30"/>
        <v>4</v>
      </c>
      <c r="T160" s="216" t="s">
        <v>42</v>
      </c>
      <c r="U160" s="196" t="str">
        <f t="shared" si="31"/>
        <v>4 Days</v>
      </c>
    </row>
    <row r="161" spans="3:21" s="185" customFormat="1" ht="20.25" customHeight="1">
      <c r="C161" s="198"/>
      <c r="D161" s="203">
        <f t="shared" si="24"/>
        <v>161</v>
      </c>
      <c r="E161" s="207" t="s">
        <v>178</v>
      </c>
      <c r="F161" s="211">
        <f t="shared" si="32"/>
        <v>160</v>
      </c>
      <c r="G161" s="206" t="s">
        <v>44</v>
      </c>
      <c r="H161" s="206"/>
      <c r="I161" s="224">
        <v>16</v>
      </c>
      <c r="J161" s="208"/>
      <c r="K161" s="234">
        <v>4</v>
      </c>
      <c r="L161" s="208" t="s">
        <v>81</v>
      </c>
      <c r="M161" s="235">
        <f t="shared" ref="M161:M163" si="33">K161</f>
        <v>4</v>
      </c>
      <c r="N161" s="208" t="s">
        <v>81</v>
      </c>
      <c r="O161" s="218">
        <v>0.5</v>
      </c>
      <c r="P161" s="208" t="s">
        <v>162</v>
      </c>
      <c r="Q161" s="240">
        <f t="shared" si="29"/>
        <v>2</v>
      </c>
      <c r="R161" s="239"/>
      <c r="S161" s="240">
        <f t="shared" si="30"/>
        <v>2</v>
      </c>
      <c r="T161" s="216" t="s">
        <v>48</v>
      </c>
      <c r="U161" s="196" t="str">
        <f t="shared" si="31"/>
        <v>2 Hrs</v>
      </c>
    </row>
    <row r="162" spans="3:21" s="185" customFormat="1" ht="20.25" customHeight="1">
      <c r="C162" s="198"/>
      <c r="D162" s="203">
        <f t="shared" si="24"/>
        <v>162</v>
      </c>
      <c r="E162" s="207" t="s">
        <v>179</v>
      </c>
      <c r="F162" s="211">
        <f t="shared" si="32"/>
        <v>161</v>
      </c>
      <c r="G162" s="206" t="s">
        <v>52</v>
      </c>
      <c r="H162" s="206"/>
      <c r="I162" s="208"/>
      <c r="J162" s="208"/>
      <c r="K162" s="234">
        <v>4</v>
      </c>
      <c r="L162" s="208" t="s">
        <v>81</v>
      </c>
      <c r="M162" s="235">
        <f t="shared" si="33"/>
        <v>4</v>
      </c>
      <c r="N162" s="208" t="s">
        <v>81</v>
      </c>
      <c r="O162" s="218">
        <v>0.5</v>
      </c>
      <c r="P162" s="208" t="s">
        <v>162</v>
      </c>
      <c r="Q162" s="240">
        <f t="shared" si="29"/>
        <v>2</v>
      </c>
      <c r="R162" s="239"/>
      <c r="S162" s="240">
        <f t="shared" si="30"/>
        <v>2</v>
      </c>
      <c r="T162" s="216" t="s">
        <v>48</v>
      </c>
      <c r="U162" s="196" t="str">
        <f t="shared" si="31"/>
        <v>2 Hrs</v>
      </c>
    </row>
    <row r="163" spans="3:21" s="185" customFormat="1" ht="20.25" customHeight="1">
      <c r="C163" s="198"/>
      <c r="D163" s="203">
        <f t="shared" si="24"/>
        <v>163</v>
      </c>
      <c r="E163" s="207" t="s">
        <v>180</v>
      </c>
      <c r="F163" s="211">
        <f t="shared" si="32"/>
        <v>162</v>
      </c>
      <c r="G163" s="206" t="s">
        <v>121</v>
      </c>
      <c r="H163" s="206"/>
      <c r="I163" s="208"/>
      <c r="J163" s="208"/>
      <c r="K163" s="234">
        <v>4</v>
      </c>
      <c r="L163" s="208" t="s">
        <v>81</v>
      </c>
      <c r="M163" s="235">
        <f t="shared" si="33"/>
        <v>4</v>
      </c>
      <c r="N163" s="208" t="s">
        <v>81</v>
      </c>
      <c r="O163" s="218">
        <v>0.5</v>
      </c>
      <c r="P163" s="208" t="s">
        <v>162</v>
      </c>
      <c r="Q163" s="240">
        <f t="shared" si="29"/>
        <v>2</v>
      </c>
      <c r="R163" s="239"/>
      <c r="S163" s="240">
        <f t="shared" si="30"/>
        <v>2</v>
      </c>
      <c r="T163" s="216" t="s">
        <v>48</v>
      </c>
      <c r="U163" s="196" t="str">
        <f t="shared" si="31"/>
        <v>2 Hrs</v>
      </c>
    </row>
    <row r="164" spans="3:21" s="185" customFormat="1" ht="20.25" customHeight="1">
      <c r="C164" s="198">
        <f>D164</f>
        <v>164</v>
      </c>
      <c r="D164" s="203">
        <f t="shared" si="24"/>
        <v>164</v>
      </c>
      <c r="E164" s="204" t="s">
        <v>181</v>
      </c>
      <c r="F164" s="210">
        <f>D159</f>
        <v>159</v>
      </c>
      <c r="G164" s="206"/>
      <c r="H164" s="206"/>
      <c r="I164" s="208"/>
      <c r="J164" s="208"/>
      <c r="K164" s="234"/>
      <c r="L164" s="208"/>
      <c r="M164" s="217"/>
      <c r="N164" s="208"/>
      <c r="O164" s="218"/>
      <c r="P164" s="208"/>
      <c r="Q164" s="240"/>
      <c r="R164" s="239"/>
      <c r="S164" s="240"/>
      <c r="T164" s="216"/>
      <c r="U164" s="196"/>
    </row>
    <row r="165" spans="3:21" s="185" customFormat="1" ht="20.25" customHeight="1">
      <c r="C165" s="198"/>
      <c r="D165" s="203">
        <f t="shared" si="24"/>
        <v>165</v>
      </c>
      <c r="E165" s="207" t="s">
        <v>182</v>
      </c>
      <c r="F165" s="211"/>
      <c r="G165" s="206" t="s">
        <v>44</v>
      </c>
      <c r="H165" s="206"/>
      <c r="I165" s="224">
        <v>12</v>
      </c>
      <c r="J165" s="208"/>
      <c r="K165" s="234">
        <v>1</v>
      </c>
      <c r="L165" s="208" t="s">
        <v>160</v>
      </c>
      <c r="M165" s="217">
        <v>1</v>
      </c>
      <c r="N165" s="208" t="s">
        <v>160</v>
      </c>
      <c r="O165" s="218">
        <v>4</v>
      </c>
      <c r="P165" s="208" t="s">
        <v>177</v>
      </c>
      <c r="Q165" s="240">
        <f t="shared" si="29"/>
        <v>4</v>
      </c>
      <c r="R165" s="239"/>
      <c r="S165" s="240">
        <f t="shared" si="30"/>
        <v>4</v>
      </c>
      <c r="T165" s="216" t="s">
        <v>42</v>
      </c>
      <c r="U165" s="196" t="str">
        <f t="shared" si="31"/>
        <v>4 Days</v>
      </c>
    </row>
    <row r="166" spans="3:21" s="185" customFormat="1" ht="20.25" customHeight="1">
      <c r="C166" s="198"/>
      <c r="D166" s="203">
        <f t="shared" si="24"/>
        <v>166</v>
      </c>
      <c r="E166" s="207" t="s">
        <v>183</v>
      </c>
      <c r="F166" s="211">
        <f t="shared" si="32"/>
        <v>165</v>
      </c>
      <c r="G166" s="206" t="s">
        <v>52</v>
      </c>
      <c r="H166" s="206"/>
      <c r="I166" s="208"/>
      <c r="J166" s="208"/>
      <c r="K166" s="234">
        <v>4</v>
      </c>
      <c r="L166" s="208" t="s">
        <v>81</v>
      </c>
      <c r="M166" s="235">
        <f t="shared" ref="M166:M168" si="34">K166</f>
        <v>4</v>
      </c>
      <c r="N166" s="208" t="s">
        <v>81</v>
      </c>
      <c r="O166" s="218">
        <v>0.5</v>
      </c>
      <c r="P166" s="208" t="s">
        <v>162</v>
      </c>
      <c r="Q166" s="240">
        <f t="shared" si="29"/>
        <v>2</v>
      </c>
      <c r="R166" s="239"/>
      <c r="S166" s="240">
        <f t="shared" si="30"/>
        <v>2</v>
      </c>
      <c r="T166" s="216" t="s">
        <v>48</v>
      </c>
      <c r="U166" s="196" t="str">
        <f t="shared" si="31"/>
        <v>2 Hrs</v>
      </c>
    </row>
    <row r="167" spans="3:21" s="185" customFormat="1" ht="20.25" customHeight="1">
      <c r="C167" s="198"/>
      <c r="D167" s="203">
        <f t="shared" si="24"/>
        <v>167</v>
      </c>
      <c r="E167" s="207" t="s">
        <v>184</v>
      </c>
      <c r="F167" s="211">
        <f t="shared" si="32"/>
        <v>166</v>
      </c>
      <c r="G167" s="206" t="s">
        <v>121</v>
      </c>
      <c r="H167" s="206"/>
      <c r="I167" s="208"/>
      <c r="J167" s="208"/>
      <c r="K167" s="234">
        <v>4</v>
      </c>
      <c r="L167" s="208" t="s">
        <v>81</v>
      </c>
      <c r="M167" s="235">
        <f t="shared" si="34"/>
        <v>4</v>
      </c>
      <c r="N167" s="208" t="s">
        <v>81</v>
      </c>
      <c r="O167" s="218">
        <v>0.5</v>
      </c>
      <c r="P167" s="208" t="s">
        <v>162</v>
      </c>
      <c r="Q167" s="240">
        <f t="shared" si="29"/>
        <v>2</v>
      </c>
      <c r="R167" s="239"/>
      <c r="S167" s="240">
        <f t="shared" si="30"/>
        <v>2</v>
      </c>
      <c r="T167" s="216" t="s">
        <v>48</v>
      </c>
      <c r="U167" s="196" t="str">
        <f t="shared" si="31"/>
        <v>2 Hrs</v>
      </c>
    </row>
    <row r="168" spans="3:21" s="185" customFormat="1" ht="20.25" customHeight="1">
      <c r="C168" s="198"/>
      <c r="D168" s="203">
        <f t="shared" si="24"/>
        <v>168</v>
      </c>
      <c r="E168" s="207" t="s">
        <v>185</v>
      </c>
      <c r="F168" s="211">
        <f t="shared" si="32"/>
        <v>167</v>
      </c>
      <c r="G168" s="206" t="s">
        <v>44</v>
      </c>
      <c r="H168" s="206"/>
      <c r="I168" s="208"/>
      <c r="J168" s="208"/>
      <c r="K168" s="234">
        <v>4</v>
      </c>
      <c r="L168" s="208" t="s">
        <v>81</v>
      </c>
      <c r="M168" s="235">
        <f t="shared" si="34"/>
        <v>4</v>
      </c>
      <c r="N168" s="208" t="s">
        <v>81</v>
      </c>
      <c r="O168" s="218">
        <v>0.5</v>
      </c>
      <c r="P168" s="208" t="s">
        <v>162</v>
      </c>
      <c r="Q168" s="240">
        <f t="shared" si="29"/>
        <v>2</v>
      </c>
      <c r="R168" s="239"/>
      <c r="S168" s="240">
        <f t="shared" si="30"/>
        <v>2</v>
      </c>
      <c r="T168" s="216" t="s">
        <v>48</v>
      </c>
      <c r="U168" s="196" t="str">
        <f t="shared" si="31"/>
        <v>2 Hrs</v>
      </c>
    </row>
    <row r="169" spans="3:21" s="185" customFormat="1" ht="20.25" customHeight="1">
      <c r="C169" s="198">
        <f>D169</f>
        <v>169</v>
      </c>
      <c r="D169" s="203">
        <f t="shared" si="24"/>
        <v>169</v>
      </c>
      <c r="E169" s="204" t="s">
        <v>186</v>
      </c>
      <c r="F169" s="210">
        <f>D164</f>
        <v>164</v>
      </c>
      <c r="G169" s="206"/>
      <c r="H169" s="206"/>
      <c r="I169" s="208"/>
      <c r="J169" s="208"/>
      <c r="K169" s="234"/>
      <c r="L169" s="208"/>
      <c r="M169" s="217"/>
      <c r="N169" s="208"/>
      <c r="O169" s="218"/>
      <c r="P169" s="208"/>
      <c r="Q169" s="240"/>
      <c r="R169" s="239"/>
      <c r="S169" s="240"/>
      <c r="T169" s="216"/>
      <c r="U169" s="196"/>
    </row>
    <row r="170" spans="3:21" s="185" customFormat="1" ht="20.25" customHeight="1">
      <c r="C170" s="198"/>
      <c r="D170" s="203">
        <f t="shared" si="24"/>
        <v>170</v>
      </c>
      <c r="E170" s="207" t="s">
        <v>187</v>
      </c>
      <c r="F170" s="211"/>
      <c r="G170" s="206" t="s">
        <v>44</v>
      </c>
      <c r="H170" s="206"/>
      <c r="I170" s="208"/>
      <c r="J170" s="208"/>
      <c r="K170" s="234">
        <v>2</v>
      </c>
      <c r="L170" s="208" t="s">
        <v>81</v>
      </c>
      <c r="M170" s="235">
        <f t="shared" ref="M170:M171" si="35">K170</f>
        <v>2</v>
      </c>
      <c r="N170" s="208" t="s">
        <v>81</v>
      </c>
      <c r="O170" s="218">
        <v>1</v>
      </c>
      <c r="P170" s="208" t="s">
        <v>162</v>
      </c>
      <c r="Q170" s="240">
        <f t="shared" si="29"/>
        <v>2</v>
      </c>
      <c r="R170" s="239"/>
      <c r="S170" s="240">
        <f t="shared" si="30"/>
        <v>2</v>
      </c>
      <c r="T170" s="216" t="s">
        <v>42</v>
      </c>
      <c r="U170" s="196" t="str">
        <f t="shared" si="31"/>
        <v>2 Days</v>
      </c>
    </row>
    <row r="171" spans="3:21" s="185" customFormat="1" ht="20.25" customHeight="1">
      <c r="C171" s="198"/>
      <c r="D171" s="203">
        <f t="shared" si="24"/>
        <v>171</v>
      </c>
      <c r="E171" s="207" t="s">
        <v>188</v>
      </c>
      <c r="F171" s="211">
        <f t="shared" si="32"/>
        <v>170</v>
      </c>
      <c r="G171" s="206" t="s">
        <v>44</v>
      </c>
      <c r="H171" s="206"/>
      <c r="I171" s="208"/>
      <c r="J171" s="208"/>
      <c r="K171" s="234">
        <v>2</v>
      </c>
      <c r="L171" s="208" t="s">
        <v>81</v>
      </c>
      <c r="M171" s="235">
        <f t="shared" si="35"/>
        <v>2</v>
      </c>
      <c r="N171" s="208" t="s">
        <v>81</v>
      </c>
      <c r="O171" s="218">
        <v>1</v>
      </c>
      <c r="P171" s="208" t="s">
        <v>162</v>
      </c>
      <c r="Q171" s="240">
        <f t="shared" si="29"/>
        <v>2</v>
      </c>
      <c r="R171" s="239"/>
      <c r="S171" s="240">
        <f t="shared" si="30"/>
        <v>2</v>
      </c>
      <c r="T171" s="216" t="s">
        <v>42</v>
      </c>
      <c r="U171" s="196" t="str">
        <f t="shared" si="31"/>
        <v>2 Days</v>
      </c>
    </row>
    <row r="172" spans="3:21" s="185" customFormat="1" ht="20.25" customHeight="1">
      <c r="C172" s="198">
        <f>D172</f>
        <v>172</v>
      </c>
      <c r="D172" s="203">
        <f t="shared" si="24"/>
        <v>172</v>
      </c>
      <c r="E172" s="204" t="s">
        <v>189</v>
      </c>
      <c r="F172" s="210">
        <f>D169</f>
        <v>169</v>
      </c>
      <c r="G172" s="206"/>
      <c r="H172" s="206"/>
      <c r="I172" s="208"/>
      <c r="J172" s="208"/>
      <c r="K172" s="234"/>
      <c r="L172" s="208"/>
      <c r="M172" s="217"/>
      <c r="N172" s="208"/>
      <c r="O172" s="218"/>
      <c r="P172" s="208"/>
      <c r="Q172" s="240"/>
      <c r="R172" s="239"/>
      <c r="S172" s="240"/>
      <c r="T172" s="216"/>
      <c r="U172" s="196"/>
    </row>
    <row r="173" spans="3:21" s="185" customFormat="1" ht="20.25" customHeight="1">
      <c r="C173" s="198"/>
      <c r="D173" s="203">
        <f t="shared" si="24"/>
        <v>173</v>
      </c>
      <c r="E173" s="207" t="s">
        <v>190</v>
      </c>
      <c r="F173" s="211"/>
      <c r="G173" s="206" t="s">
        <v>44</v>
      </c>
      <c r="H173" s="206"/>
      <c r="I173" s="224">
        <v>12</v>
      </c>
      <c r="J173" s="208"/>
      <c r="K173" s="234"/>
      <c r="L173" s="208" t="s">
        <v>81</v>
      </c>
      <c r="M173" s="235">
        <f t="shared" ref="M173:M176" si="36">K173</f>
        <v>0</v>
      </c>
      <c r="N173" s="208" t="s">
        <v>81</v>
      </c>
      <c r="O173" s="218">
        <v>4</v>
      </c>
      <c r="P173" s="208" t="s">
        <v>162</v>
      </c>
      <c r="Q173" s="240">
        <f t="shared" si="29"/>
        <v>0</v>
      </c>
      <c r="R173" s="239"/>
      <c r="S173" s="240">
        <f t="shared" si="30"/>
        <v>0</v>
      </c>
      <c r="T173" s="216" t="s">
        <v>48</v>
      </c>
      <c r="U173" s="196" t="str">
        <f t="shared" si="31"/>
        <v>0 Hrs</v>
      </c>
    </row>
    <row r="174" spans="3:21" s="185" customFormat="1" ht="20.25" customHeight="1">
      <c r="C174" s="198"/>
      <c r="D174" s="203">
        <f t="shared" si="24"/>
        <v>174</v>
      </c>
      <c r="E174" s="207" t="s">
        <v>191</v>
      </c>
      <c r="F174" s="211">
        <f t="shared" si="32"/>
        <v>173</v>
      </c>
      <c r="G174" s="206" t="s">
        <v>52</v>
      </c>
      <c r="H174" s="206"/>
      <c r="I174" s="208"/>
      <c r="J174" s="208"/>
      <c r="K174" s="234"/>
      <c r="L174" s="208" t="s">
        <v>81</v>
      </c>
      <c r="M174" s="235">
        <f t="shared" si="36"/>
        <v>0</v>
      </c>
      <c r="N174" s="208" t="s">
        <v>81</v>
      </c>
      <c r="O174" s="218">
        <v>4</v>
      </c>
      <c r="P174" s="208" t="s">
        <v>162</v>
      </c>
      <c r="Q174" s="240">
        <f t="shared" si="29"/>
        <v>0</v>
      </c>
      <c r="R174" s="239"/>
      <c r="S174" s="240">
        <f t="shared" si="30"/>
        <v>0</v>
      </c>
      <c r="T174" s="216" t="s">
        <v>48</v>
      </c>
      <c r="U174" s="196" t="str">
        <f t="shared" si="31"/>
        <v>0 Hrs</v>
      </c>
    </row>
    <row r="175" spans="3:21" s="185" customFormat="1" ht="20.25" customHeight="1">
      <c r="C175" s="198"/>
      <c r="D175" s="203">
        <f t="shared" si="24"/>
        <v>175</v>
      </c>
      <c r="E175" s="207" t="s">
        <v>192</v>
      </c>
      <c r="F175" s="211">
        <f t="shared" si="32"/>
        <v>174</v>
      </c>
      <c r="G175" s="206" t="s">
        <v>44</v>
      </c>
      <c r="H175" s="206"/>
      <c r="I175" s="208"/>
      <c r="J175" s="208"/>
      <c r="K175" s="234"/>
      <c r="L175" s="208" t="s">
        <v>81</v>
      </c>
      <c r="M175" s="235">
        <f t="shared" si="36"/>
        <v>0</v>
      </c>
      <c r="N175" s="208" t="s">
        <v>81</v>
      </c>
      <c r="O175" s="218">
        <v>2</v>
      </c>
      <c r="P175" s="208" t="s">
        <v>162</v>
      </c>
      <c r="Q175" s="240">
        <f t="shared" si="29"/>
        <v>0</v>
      </c>
      <c r="R175" s="239"/>
      <c r="S175" s="240">
        <f t="shared" si="30"/>
        <v>0</v>
      </c>
      <c r="T175" s="216" t="s">
        <v>48</v>
      </c>
      <c r="U175" s="196" t="str">
        <f t="shared" si="31"/>
        <v>0 Hrs</v>
      </c>
    </row>
    <row r="176" spans="3:21" s="185" customFormat="1" ht="20.25" customHeight="1">
      <c r="C176" s="198"/>
      <c r="D176" s="203">
        <f t="shared" si="24"/>
        <v>176</v>
      </c>
      <c r="E176" s="207" t="s">
        <v>193</v>
      </c>
      <c r="F176" s="211">
        <f t="shared" si="32"/>
        <v>175</v>
      </c>
      <c r="G176" s="206" t="s">
        <v>44</v>
      </c>
      <c r="H176" s="206"/>
      <c r="I176" s="208"/>
      <c r="J176" s="208"/>
      <c r="K176" s="234"/>
      <c r="L176" s="208" t="s">
        <v>81</v>
      </c>
      <c r="M176" s="235">
        <f t="shared" si="36"/>
        <v>0</v>
      </c>
      <c r="N176" s="208" t="s">
        <v>81</v>
      </c>
      <c r="O176" s="218">
        <v>1</v>
      </c>
      <c r="P176" s="208" t="s">
        <v>162</v>
      </c>
      <c r="Q176" s="240">
        <f t="shared" si="29"/>
        <v>0</v>
      </c>
      <c r="R176" s="239"/>
      <c r="S176" s="240">
        <f t="shared" si="30"/>
        <v>0</v>
      </c>
      <c r="T176" s="216" t="s">
        <v>48</v>
      </c>
      <c r="U176" s="196" t="str">
        <f t="shared" si="31"/>
        <v>0 Hrs</v>
      </c>
    </row>
    <row r="177" spans="3:21" s="185" customFormat="1" ht="20.25" customHeight="1">
      <c r="C177" s="198">
        <f t="shared" ref="C177:C178" si="37">D177</f>
        <v>177</v>
      </c>
      <c r="D177" s="203">
        <f t="shared" si="24"/>
        <v>177</v>
      </c>
      <c r="E177" s="247" t="s">
        <v>194</v>
      </c>
      <c r="F177" s="210"/>
      <c r="G177" s="206"/>
      <c r="H177" s="206"/>
      <c r="I177" s="208"/>
      <c r="J177" s="208"/>
      <c r="K177" s="234"/>
      <c r="L177" s="208"/>
      <c r="M177" s="217"/>
      <c r="N177" s="208"/>
      <c r="O177" s="218"/>
      <c r="P177" s="208"/>
      <c r="Q177" s="240"/>
      <c r="R177" s="239"/>
      <c r="S177" s="240"/>
      <c r="T177" s="216"/>
      <c r="U177" s="196"/>
    </row>
    <row r="178" spans="3:21" s="185" customFormat="1" ht="20.25" customHeight="1">
      <c r="C178" s="198">
        <f t="shared" si="37"/>
        <v>178</v>
      </c>
      <c r="D178" s="203">
        <f t="shared" si="24"/>
        <v>178</v>
      </c>
      <c r="E178" s="209" t="s">
        <v>195</v>
      </c>
      <c r="F178" s="210">
        <f t="shared" si="32"/>
        <v>177</v>
      </c>
      <c r="G178" s="206"/>
      <c r="H178" s="206"/>
      <c r="I178" s="208"/>
      <c r="J178" s="208"/>
      <c r="K178" s="234"/>
      <c r="L178" s="208"/>
      <c r="M178" s="217"/>
      <c r="N178" s="208"/>
      <c r="O178" s="218"/>
      <c r="P178" s="208"/>
      <c r="Q178" s="240"/>
      <c r="R178" s="239"/>
      <c r="S178" s="240"/>
      <c r="T178" s="216"/>
      <c r="U178" s="196"/>
    </row>
    <row r="179" spans="3:21" s="185" customFormat="1" ht="20.25" customHeight="1">
      <c r="C179" s="198"/>
      <c r="D179" s="203">
        <f t="shared" si="24"/>
        <v>179</v>
      </c>
      <c r="E179" s="207" t="s">
        <v>196</v>
      </c>
      <c r="F179" s="211"/>
      <c r="G179" s="206"/>
      <c r="H179" s="206"/>
      <c r="I179" s="208"/>
      <c r="J179" s="208"/>
      <c r="K179" s="234">
        <v>1</v>
      </c>
      <c r="L179" s="208" t="s">
        <v>81</v>
      </c>
      <c r="M179" s="235">
        <f t="shared" ref="M179" si="38">K179</f>
        <v>1</v>
      </c>
      <c r="N179" s="208" t="s">
        <v>84</v>
      </c>
      <c r="O179" s="218">
        <v>4</v>
      </c>
      <c r="P179" s="208" t="s">
        <v>41</v>
      </c>
      <c r="Q179" s="240">
        <f t="shared" si="29"/>
        <v>4</v>
      </c>
      <c r="R179" s="239"/>
      <c r="S179" s="240">
        <f t="shared" si="30"/>
        <v>4</v>
      </c>
      <c r="T179" s="216" t="s">
        <v>48</v>
      </c>
      <c r="U179" s="196" t="str">
        <f t="shared" si="31"/>
        <v>4 Hrs</v>
      </c>
    </row>
    <row r="180" spans="3:21" s="185" customFormat="1" ht="20.25" customHeight="1">
      <c r="C180" s="198"/>
      <c r="D180" s="203">
        <f t="shared" si="24"/>
        <v>180</v>
      </c>
      <c r="E180" s="207" t="s">
        <v>197</v>
      </c>
      <c r="F180" s="211">
        <f t="shared" si="32"/>
        <v>179</v>
      </c>
      <c r="G180" s="206" t="s">
        <v>44</v>
      </c>
      <c r="H180" s="206"/>
      <c r="I180" s="224">
        <v>6</v>
      </c>
      <c r="J180" s="208"/>
      <c r="K180" s="234">
        <v>17</v>
      </c>
      <c r="L180" s="208" t="s">
        <v>81</v>
      </c>
      <c r="M180" s="217">
        <v>1</v>
      </c>
      <c r="N180" s="208" t="s">
        <v>84</v>
      </c>
      <c r="O180" s="218">
        <v>1</v>
      </c>
      <c r="P180" s="208" t="s">
        <v>41</v>
      </c>
      <c r="Q180" s="240">
        <f t="shared" si="29"/>
        <v>1</v>
      </c>
      <c r="R180" s="239"/>
      <c r="S180" s="240">
        <f t="shared" si="30"/>
        <v>1</v>
      </c>
      <c r="T180" s="216" t="s">
        <v>48</v>
      </c>
      <c r="U180" s="196" t="str">
        <f t="shared" si="31"/>
        <v>1 Hrs</v>
      </c>
    </row>
    <row r="181" spans="3:21" s="185" customFormat="1" ht="20.25" customHeight="1">
      <c r="C181" s="198"/>
      <c r="D181" s="203">
        <f t="shared" si="24"/>
        <v>181</v>
      </c>
      <c r="E181" s="207" t="s">
        <v>198</v>
      </c>
      <c r="F181" s="211">
        <f t="shared" si="32"/>
        <v>180</v>
      </c>
      <c r="G181" s="206" t="s">
        <v>52</v>
      </c>
      <c r="H181" s="206"/>
      <c r="I181" s="208"/>
      <c r="J181" s="208"/>
      <c r="K181" s="234">
        <v>17</v>
      </c>
      <c r="L181" s="208" t="s">
        <v>81</v>
      </c>
      <c r="M181" s="217">
        <v>1</v>
      </c>
      <c r="N181" s="208" t="s">
        <v>84</v>
      </c>
      <c r="O181" s="218">
        <v>5</v>
      </c>
      <c r="P181" s="208" t="s">
        <v>41</v>
      </c>
      <c r="Q181" s="240">
        <f t="shared" si="29"/>
        <v>5</v>
      </c>
      <c r="R181" s="239"/>
      <c r="S181" s="240">
        <f t="shared" si="30"/>
        <v>5</v>
      </c>
      <c r="T181" s="216" t="s">
        <v>48</v>
      </c>
      <c r="U181" s="196" t="str">
        <f t="shared" si="31"/>
        <v>5 Hrs</v>
      </c>
    </row>
    <row r="182" spans="3:21" s="185" customFormat="1" ht="20.25" customHeight="1">
      <c r="C182" s="198">
        <f>D182</f>
        <v>182</v>
      </c>
      <c r="D182" s="203">
        <f t="shared" si="24"/>
        <v>182</v>
      </c>
      <c r="E182" s="209" t="s">
        <v>199</v>
      </c>
      <c r="F182" s="210"/>
      <c r="G182" s="206"/>
      <c r="H182" s="206"/>
      <c r="I182" s="208"/>
      <c r="J182" s="208"/>
      <c r="K182" s="234"/>
      <c r="L182" s="208"/>
      <c r="M182" s="217"/>
      <c r="N182" s="208"/>
      <c r="O182" s="218"/>
      <c r="P182" s="208"/>
      <c r="Q182" s="240"/>
      <c r="R182" s="239"/>
      <c r="S182" s="240"/>
      <c r="T182" s="216"/>
      <c r="U182" s="196"/>
    </row>
    <row r="183" spans="3:21" s="185" customFormat="1" ht="20.25" customHeight="1">
      <c r="C183" s="198"/>
      <c r="D183" s="203">
        <f t="shared" si="24"/>
        <v>183</v>
      </c>
      <c r="E183" s="207" t="s">
        <v>200</v>
      </c>
      <c r="F183" s="211"/>
      <c r="G183" s="206" t="s">
        <v>201</v>
      </c>
      <c r="H183" s="206"/>
      <c r="I183" s="208"/>
      <c r="J183" s="208"/>
      <c r="K183" s="234">
        <v>17</v>
      </c>
      <c r="L183" s="208" t="s">
        <v>81</v>
      </c>
      <c r="M183" s="235">
        <f t="shared" ref="M183" si="39">K183</f>
        <v>17</v>
      </c>
      <c r="N183" s="208" t="s">
        <v>81</v>
      </c>
      <c r="O183" s="218">
        <v>1</v>
      </c>
      <c r="P183" s="208" t="s">
        <v>162</v>
      </c>
      <c r="Q183" s="240">
        <f t="shared" si="29"/>
        <v>17</v>
      </c>
      <c r="R183" s="239"/>
      <c r="S183" s="240">
        <f t="shared" si="30"/>
        <v>17</v>
      </c>
      <c r="T183" s="216" t="s">
        <v>48</v>
      </c>
      <c r="U183" s="196" t="str">
        <f t="shared" si="31"/>
        <v>17 Hrs</v>
      </c>
    </row>
    <row r="184" spans="3:21" s="185" customFormat="1" ht="20.25" customHeight="1">
      <c r="C184" s="198"/>
      <c r="D184" s="203">
        <f t="shared" si="24"/>
        <v>184</v>
      </c>
      <c r="E184" s="207" t="s">
        <v>202</v>
      </c>
      <c r="F184" s="211">
        <f t="shared" si="32"/>
        <v>183</v>
      </c>
      <c r="G184" s="206" t="s">
        <v>44</v>
      </c>
      <c r="H184" s="206"/>
      <c r="I184" s="208"/>
      <c r="J184" s="208" t="s">
        <v>203</v>
      </c>
      <c r="K184" s="234">
        <v>2</v>
      </c>
      <c r="L184" s="208" t="s">
        <v>81</v>
      </c>
      <c r="M184" s="235">
        <v>3</v>
      </c>
      <c r="N184" s="208" t="s">
        <v>81</v>
      </c>
      <c r="O184" s="218">
        <v>2</v>
      </c>
      <c r="P184" s="208" t="s">
        <v>162</v>
      </c>
      <c r="Q184" s="240">
        <f t="shared" si="29"/>
        <v>6</v>
      </c>
      <c r="R184" s="239"/>
      <c r="S184" s="240">
        <f t="shared" si="30"/>
        <v>6</v>
      </c>
      <c r="T184" s="216" t="s">
        <v>48</v>
      </c>
      <c r="U184" s="196" t="str">
        <f t="shared" si="31"/>
        <v>6 Hrs</v>
      </c>
    </row>
    <row r="185" spans="3:21" s="185" customFormat="1" ht="20.25" customHeight="1">
      <c r="C185" s="198">
        <f>D185</f>
        <v>185</v>
      </c>
      <c r="D185" s="203">
        <f t="shared" si="24"/>
        <v>185</v>
      </c>
      <c r="E185" s="209" t="s">
        <v>204</v>
      </c>
      <c r="F185" s="210">
        <f>D182</f>
        <v>182</v>
      </c>
      <c r="G185" s="206"/>
      <c r="H185" s="206"/>
      <c r="I185" s="208"/>
      <c r="J185" s="208"/>
      <c r="K185" s="234"/>
      <c r="L185" s="208"/>
      <c r="M185" s="217"/>
      <c r="N185" s="208"/>
      <c r="O185" s="218"/>
      <c r="P185" s="208"/>
      <c r="Q185" s="240"/>
      <c r="R185" s="239"/>
      <c r="S185" s="240"/>
      <c r="T185" s="216"/>
      <c r="U185" s="196"/>
    </row>
    <row r="186" spans="3:21" s="185" customFormat="1" ht="20.25" customHeight="1">
      <c r="C186" s="198"/>
      <c r="D186" s="203">
        <f t="shared" si="24"/>
        <v>186</v>
      </c>
      <c r="E186" s="207" t="s">
        <v>204</v>
      </c>
      <c r="F186" s="211">
        <f t="shared" si="32"/>
        <v>185</v>
      </c>
      <c r="G186" s="206" t="s">
        <v>55</v>
      </c>
      <c r="H186" s="206"/>
      <c r="I186" s="224">
        <v>6</v>
      </c>
      <c r="J186" s="208"/>
      <c r="K186" s="234">
        <v>2</v>
      </c>
      <c r="L186" s="208" t="s">
        <v>206</v>
      </c>
      <c r="M186" s="217">
        <v>1</v>
      </c>
      <c r="N186" s="208" t="s">
        <v>84</v>
      </c>
      <c r="O186" s="218">
        <v>10</v>
      </c>
      <c r="P186" s="208" t="s">
        <v>41</v>
      </c>
      <c r="Q186" s="240">
        <f t="shared" si="29"/>
        <v>10</v>
      </c>
      <c r="R186" s="239"/>
      <c r="S186" s="240">
        <f t="shared" si="30"/>
        <v>10</v>
      </c>
      <c r="T186" s="216" t="s">
        <v>42</v>
      </c>
      <c r="U186" s="196" t="str">
        <f t="shared" si="31"/>
        <v>10 Days</v>
      </c>
    </row>
    <row r="187" spans="3:21" s="185" customFormat="1" ht="20.25" customHeight="1">
      <c r="C187" s="198">
        <f>D187</f>
        <v>187</v>
      </c>
      <c r="D187" s="203">
        <f t="shared" si="24"/>
        <v>187</v>
      </c>
      <c r="E187" s="209" t="s">
        <v>207</v>
      </c>
      <c r="F187" s="210">
        <f>D185</f>
        <v>185</v>
      </c>
      <c r="G187" s="206"/>
      <c r="H187" s="206"/>
      <c r="I187" s="208"/>
      <c r="J187" s="208"/>
      <c r="K187" s="234"/>
      <c r="L187" s="208"/>
      <c r="M187" s="217"/>
      <c r="N187" s="208"/>
      <c r="O187" s="218"/>
      <c r="P187" s="208"/>
      <c r="Q187" s="240"/>
      <c r="R187" s="239"/>
      <c r="S187" s="240"/>
      <c r="T187" s="216"/>
      <c r="U187" s="196"/>
    </row>
    <row r="188" spans="3:21" s="185" customFormat="1" ht="20.25" customHeight="1">
      <c r="C188" s="198"/>
      <c r="D188" s="203">
        <f t="shared" si="24"/>
        <v>188</v>
      </c>
      <c r="E188" s="207" t="s">
        <v>208</v>
      </c>
      <c r="F188" s="211"/>
      <c r="G188" s="206" t="s">
        <v>44</v>
      </c>
      <c r="H188" s="206"/>
      <c r="I188" s="208"/>
      <c r="J188" s="208"/>
      <c r="K188" s="234">
        <v>2</v>
      </c>
      <c r="L188" s="208" t="s">
        <v>206</v>
      </c>
      <c r="M188" s="217">
        <v>4</v>
      </c>
      <c r="N188" s="208" t="s">
        <v>206</v>
      </c>
      <c r="O188" s="218">
        <v>6</v>
      </c>
      <c r="P188" s="208" t="s">
        <v>48</v>
      </c>
      <c r="Q188" s="240">
        <f t="shared" si="29"/>
        <v>24</v>
      </c>
      <c r="R188" s="239"/>
      <c r="S188" s="240">
        <f t="shared" si="30"/>
        <v>24</v>
      </c>
      <c r="T188" s="243" t="s">
        <v>48</v>
      </c>
      <c r="U188" s="196" t="str">
        <f t="shared" si="31"/>
        <v>24 Hrs</v>
      </c>
    </row>
    <row r="189" spans="3:21" s="185" customFormat="1" ht="20.25" customHeight="1">
      <c r="C189" s="198"/>
      <c r="D189" s="203">
        <f t="shared" si="24"/>
        <v>189</v>
      </c>
      <c r="E189" s="207" t="s">
        <v>209</v>
      </c>
      <c r="F189" s="211">
        <f t="shared" si="32"/>
        <v>188</v>
      </c>
      <c r="G189" s="206" t="s">
        <v>63</v>
      </c>
      <c r="H189" s="206"/>
      <c r="I189" s="208"/>
      <c r="J189" s="208"/>
      <c r="K189" s="234">
        <v>17</v>
      </c>
      <c r="L189" s="208" t="s">
        <v>81</v>
      </c>
      <c r="M189" s="239">
        <f>1308*9*2</f>
        <v>23544</v>
      </c>
      <c r="N189" s="208" t="s">
        <v>210</v>
      </c>
      <c r="O189" s="246">
        <f>1/100</f>
        <v>0.01</v>
      </c>
      <c r="P189" s="208"/>
      <c r="Q189" s="240">
        <f t="shared" si="29"/>
        <v>235.44</v>
      </c>
      <c r="R189" s="239"/>
      <c r="S189" s="240">
        <f t="shared" si="30"/>
        <v>235.44</v>
      </c>
      <c r="T189" s="216" t="s">
        <v>42</v>
      </c>
      <c r="U189" s="196" t="str">
        <f t="shared" si="31"/>
        <v>235.44 Days</v>
      </c>
    </row>
    <row r="190" spans="3:21" s="185" customFormat="1" ht="20.25" customHeight="1">
      <c r="C190" s="198">
        <f>D190</f>
        <v>190</v>
      </c>
      <c r="D190" s="203">
        <f t="shared" si="24"/>
        <v>190</v>
      </c>
      <c r="E190" s="209" t="s">
        <v>211</v>
      </c>
      <c r="F190" s="210">
        <f>D187</f>
        <v>187</v>
      </c>
      <c r="G190" s="206"/>
      <c r="H190" s="206"/>
      <c r="I190" s="208"/>
      <c r="J190" s="208"/>
      <c r="K190" s="234"/>
      <c r="L190" s="208"/>
      <c r="M190" s="217"/>
      <c r="N190" s="208"/>
      <c r="O190" s="218"/>
      <c r="P190" s="208"/>
      <c r="Q190" s="240"/>
      <c r="R190" s="239"/>
      <c r="S190" s="240"/>
      <c r="T190" s="216"/>
      <c r="U190" s="196"/>
    </row>
    <row r="191" spans="3:21" s="185" customFormat="1" ht="20.25" customHeight="1">
      <c r="C191" s="198"/>
      <c r="D191" s="203">
        <f t="shared" si="24"/>
        <v>191</v>
      </c>
      <c r="E191" s="207" t="s">
        <v>212</v>
      </c>
      <c r="F191" s="211"/>
      <c r="G191" s="206" t="s">
        <v>44</v>
      </c>
      <c r="H191" s="206"/>
      <c r="I191" s="208"/>
      <c r="J191" s="208"/>
      <c r="K191" s="234">
        <v>2</v>
      </c>
      <c r="L191" s="208" t="s">
        <v>81</v>
      </c>
      <c r="M191" s="235">
        <f t="shared" ref="M191" si="40">K191</f>
        <v>2</v>
      </c>
      <c r="N191" s="208" t="s">
        <v>81</v>
      </c>
      <c r="O191" s="218">
        <v>0.25</v>
      </c>
      <c r="P191" s="208" t="s">
        <v>162</v>
      </c>
      <c r="Q191" s="240">
        <f t="shared" si="29"/>
        <v>0.5</v>
      </c>
      <c r="R191" s="239"/>
      <c r="S191" s="240">
        <f t="shared" si="30"/>
        <v>0.5</v>
      </c>
      <c r="T191" s="216" t="s">
        <v>48</v>
      </c>
      <c r="U191" s="196" t="str">
        <f t="shared" si="31"/>
        <v>0.5 Hrs</v>
      </c>
    </row>
    <row r="192" spans="3:21" s="185" customFormat="1" ht="20.25" customHeight="1">
      <c r="C192" s="198"/>
      <c r="D192" s="203">
        <f t="shared" si="24"/>
        <v>192</v>
      </c>
      <c r="E192" s="207" t="s">
        <v>213</v>
      </c>
      <c r="F192" s="211">
        <f t="shared" si="32"/>
        <v>191</v>
      </c>
      <c r="G192" s="206" t="s">
        <v>44</v>
      </c>
      <c r="H192" s="206"/>
      <c r="I192" s="208"/>
      <c r="J192" s="208"/>
      <c r="K192" s="234">
        <v>2</v>
      </c>
      <c r="L192" s="208" t="s">
        <v>81</v>
      </c>
      <c r="M192" s="217">
        <v>1</v>
      </c>
      <c r="N192" s="208" t="s">
        <v>160</v>
      </c>
      <c r="O192" s="218">
        <v>1</v>
      </c>
      <c r="P192" s="208" t="s">
        <v>48</v>
      </c>
      <c r="Q192" s="240">
        <f t="shared" si="29"/>
        <v>1</v>
      </c>
      <c r="R192" s="239"/>
      <c r="S192" s="240">
        <f t="shared" si="30"/>
        <v>1</v>
      </c>
      <c r="T192" s="216" t="s">
        <v>48</v>
      </c>
      <c r="U192" s="196" t="str">
        <f t="shared" si="31"/>
        <v>1 Hrs</v>
      </c>
    </row>
    <row r="193" spans="3:21" s="185" customFormat="1" ht="20.25" customHeight="1">
      <c r="C193" s="198"/>
      <c r="D193" s="203">
        <f t="shared" si="24"/>
        <v>193</v>
      </c>
      <c r="E193" s="207" t="s">
        <v>214</v>
      </c>
      <c r="F193" s="211">
        <f t="shared" si="32"/>
        <v>192</v>
      </c>
      <c r="G193" s="206" t="s">
        <v>55</v>
      </c>
      <c r="H193" s="206"/>
      <c r="I193" s="208"/>
      <c r="J193" s="208"/>
      <c r="K193" s="234">
        <v>2</v>
      </c>
      <c r="L193" s="208" t="s">
        <v>81</v>
      </c>
      <c r="M193" s="217">
        <v>1</v>
      </c>
      <c r="N193" s="208" t="s">
        <v>160</v>
      </c>
      <c r="O193" s="218">
        <v>5</v>
      </c>
      <c r="P193" s="208" t="s">
        <v>41</v>
      </c>
      <c r="Q193" s="240">
        <f t="shared" si="29"/>
        <v>5</v>
      </c>
      <c r="R193" s="239"/>
      <c r="S193" s="240">
        <f t="shared" si="30"/>
        <v>5</v>
      </c>
      <c r="T193" s="216" t="s">
        <v>42</v>
      </c>
      <c r="U193" s="196" t="str">
        <f t="shared" si="31"/>
        <v>5 Days</v>
      </c>
    </row>
    <row r="194" spans="3:21" s="185" customFormat="1" ht="20.25" customHeight="1">
      <c r="C194" s="198"/>
      <c r="D194" s="203">
        <f t="shared" si="24"/>
        <v>194</v>
      </c>
      <c r="E194" s="207" t="s">
        <v>215</v>
      </c>
      <c r="F194" s="211">
        <f t="shared" si="32"/>
        <v>193</v>
      </c>
      <c r="G194" s="206" t="s">
        <v>55</v>
      </c>
      <c r="H194" s="206"/>
      <c r="I194" s="208"/>
      <c r="J194" s="208"/>
      <c r="K194" s="234">
        <v>2</v>
      </c>
      <c r="L194" s="208" t="s">
        <v>81</v>
      </c>
      <c r="M194" s="217">
        <v>1</v>
      </c>
      <c r="N194" s="208" t="s">
        <v>160</v>
      </c>
      <c r="O194" s="218">
        <v>5</v>
      </c>
      <c r="P194" s="208" t="s">
        <v>41</v>
      </c>
      <c r="Q194" s="240">
        <f t="shared" si="29"/>
        <v>5</v>
      </c>
      <c r="R194" s="239"/>
      <c r="S194" s="240">
        <f t="shared" si="30"/>
        <v>5</v>
      </c>
      <c r="T194" s="216" t="s">
        <v>42</v>
      </c>
      <c r="U194" s="196" t="str">
        <f t="shared" si="31"/>
        <v>5 Days</v>
      </c>
    </row>
    <row r="195" spans="3:21" s="185" customFormat="1" ht="20.25" customHeight="1">
      <c r="C195" s="198"/>
      <c r="D195" s="203">
        <f t="shared" ref="D195:D258" si="41">D194+1</f>
        <v>195</v>
      </c>
      <c r="E195" s="207" t="s">
        <v>216</v>
      </c>
      <c r="F195" s="211">
        <f t="shared" si="32"/>
        <v>194</v>
      </c>
      <c r="G195" s="206" t="s">
        <v>217</v>
      </c>
      <c r="H195" s="206"/>
      <c r="I195" s="208"/>
      <c r="J195" s="208"/>
      <c r="K195" s="234">
        <v>2</v>
      </c>
      <c r="L195" s="208" t="s">
        <v>81</v>
      </c>
      <c r="M195" s="217">
        <v>1</v>
      </c>
      <c r="N195" s="208" t="s">
        <v>160</v>
      </c>
      <c r="O195" s="218">
        <v>1</v>
      </c>
      <c r="P195" s="208" t="s">
        <v>41</v>
      </c>
      <c r="Q195" s="240">
        <f t="shared" si="29"/>
        <v>1</v>
      </c>
      <c r="R195" s="239"/>
      <c r="S195" s="240">
        <f t="shared" si="30"/>
        <v>1</v>
      </c>
      <c r="T195" s="216" t="s">
        <v>42</v>
      </c>
      <c r="U195" s="196" t="str">
        <f t="shared" si="31"/>
        <v>1 Days</v>
      </c>
    </row>
    <row r="196" spans="3:21" s="185" customFormat="1" ht="20.25" customHeight="1">
      <c r="C196" s="198">
        <f>D196</f>
        <v>196</v>
      </c>
      <c r="D196" s="203">
        <f t="shared" si="41"/>
        <v>196</v>
      </c>
      <c r="E196" s="209" t="s">
        <v>218</v>
      </c>
      <c r="F196" s="210">
        <f>D190</f>
        <v>190</v>
      </c>
      <c r="G196" s="206"/>
      <c r="H196" s="206"/>
      <c r="I196" s="208"/>
      <c r="J196" s="208"/>
      <c r="K196" s="234"/>
      <c r="L196" s="208"/>
      <c r="M196" s="217"/>
      <c r="N196" s="208"/>
      <c r="O196" s="218"/>
      <c r="P196" s="208"/>
      <c r="Q196" s="240"/>
      <c r="R196" s="239"/>
      <c r="S196" s="240"/>
      <c r="T196" s="216"/>
      <c r="U196" s="196"/>
    </row>
    <row r="197" spans="3:21" s="185" customFormat="1" ht="20.25" customHeight="1">
      <c r="C197" s="198"/>
      <c r="D197" s="203">
        <f t="shared" si="41"/>
        <v>197</v>
      </c>
      <c r="E197" s="207" t="s">
        <v>219</v>
      </c>
      <c r="F197" s="211"/>
      <c r="G197" s="206"/>
      <c r="H197" s="206"/>
      <c r="I197" s="208"/>
      <c r="J197" s="208"/>
      <c r="K197" s="234">
        <v>1</v>
      </c>
      <c r="L197" s="208" t="s">
        <v>81</v>
      </c>
      <c r="M197" s="235">
        <v>1</v>
      </c>
      <c r="N197" s="208" t="s">
        <v>84</v>
      </c>
      <c r="O197" s="218">
        <v>4</v>
      </c>
      <c r="P197" s="208" t="s">
        <v>41</v>
      </c>
      <c r="Q197" s="240">
        <f t="shared" si="29"/>
        <v>4</v>
      </c>
      <c r="R197" s="239"/>
      <c r="S197" s="240">
        <f t="shared" si="30"/>
        <v>4</v>
      </c>
      <c r="T197" s="216" t="s">
        <v>42</v>
      </c>
      <c r="U197" s="196" t="str">
        <f t="shared" si="31"/>
        <v>4 Days</v>
      </c>
    </row>
    <row r="198" spans="3:21" s="185" customFormat="1" ht="20.25" customHeight="1">
      <c r="C198" s="198"/>
      <c r="D198" s="203">
        <f t="shared" si="41"/>
        <v>198</v>
      </c>
      <c r="E198" s="207" t="s">
        <v>220</v>
      </c>
      <c r="F198" s="211">
        <f t="shared" si="32"/>
        <v>197</v>
      </c>
      <c r="G198" s="206" t="s">
        <v>55</v>
      </c>
      <c r="H198" s="206"/>
      <c r="I198" s="224">
        <v>14</v>
      </c>
      <c r="J198" s="208"/>
      <c r="K198" s="234">
        <v>1</v>
      </c>
      <c r="L198" s="208" t="s">
        <v>81</v>
      </c>
      <c r="M198" s="217">
        <v>1</v>
      </c>
      <c r="N198" s="208" t="s">
        <v>84</v>
      </c>
      <c r="O198" s="218">
        <v>1</v>
      </c>
      <c r="P198" s="208" t="s">
        <v>41</v>
      </c>
      <c r="Q198" s="240">
        <f t="shared" si="29"/>
        <v>1</v>
      </c>
      <c r="R198" s="239"/>
      <c r="S198" s="240">
        <f t="shared" si="30"/>
        <v>1</v>
      </c>
      <c r="T198" s="216" t="s">
        <v>42</v>
      </c>
      <c r="U198" s="196" t="str">
        <f t="shared" si="31"/>
        <v>1 Days</v>
      </c>
    </row>
    <row r="199" spans="3:21" s="185" customFormat="1" ht="20.25" customHeight="1">
      <c r="C199" s="198"/>
      <c r="D199" s="203">
        <f t="shared" si="41"/>
        <v>199</v>
      </c>
      <c r="E199" s="207" t="s">
        <v>221</v>
      </c>
      <c r="F199" s="211">
        <f t="shared" si="32"/>
        <v>198</v>
      </c>
      <c r="G199" s="206" t="s">
        <v>55</v>
      </c>
      <c r="H199" s="206"/>
      <c r="I199" s="208"/>
      <c r="J199" s="208"/>
      <c r="K199" s="234">
        <v>1</v>
      </c>
      <c r="L199" s="208" t="s">
        <v>81</v>
      </c>
      <c r="M199" s="217">
        <v>1</v>
      </c>
      <c r="N199" s="208" t="s">
        <v>84</v>
      </c>
      <c r="O199" s="218">
        <v>5</v>
      </c>
      <c r="P199" s="208" t="s">
        <v>41</v>
      </c>
      <c r="Q199" s="240">
        <f t="shared" si="29"/>
        <v>5</v>
      </c>
      <c r="R199" s="239"/>
      <c r="S199" s="240">
        <f t="shared" si="30"/>
        <v>5</v>
      </c>
      <c r="T199" s="216" t="s">
        <v>42</v>
      </c>
      <c r="U199" s="196" t="str">
        <f t="shared" si="31"/>
        <v>5 Days</v>
      </c>
    </row>
    <row r="200" spans="3:21" s="185" customFormat="1" ht="20.25" customHeight="1">
      <c r="C200" s="198">
        <f>D200</f>
        <v>200</v>
      </c>
      <c r="D200" s="203">
        <f t="shared" si="41"/>
        <v>200</v>
      </c>
      <c r="E200" s="209" t="s">
        <v>222</v>
      </c>
      <c r="F200" s="210">
        <f>D196</f>
        <v>196</v>
      </c>
      <c r="G200" s="206"/>
      <c r="H200" s="206"/>
      <c r="I200" s="208"/>
      <c r="J200" s="208"/>
      <c r="K200" s="234"/>
      <c r="L200" s="208"/>
      <c r="M200" s="217"/>
      <c r="N200" s="208"/>
      <c r="O200" s="218"/>
      <c r="P200" s="208"/>
      <c r="Q200" s="240"/>
      <c r="R200" s="239"/>
      <c r="S200" s="240"/>
      <c r="T200" s="216"/>
      <c r="U200" s="196"/>
    </row>
    <row r="201" spans="3:21" s="185" customFormat="1" ht="20.25" customHeight="1">
      <c r="C201" s="198"/>
      <c r="D201" s="203">
        <f t="shared" si="41"/>
        <v>201</v>
      </c>
      <c r="E201" s="207" t="s">
        <v>223</v>
      </c>
      <c r="F201" s="211"/>
      <c r="G201" s="206" t="s">
        <v>224</v>
      </c>
      <c r="H201" s="206"/>
      <c r="I201" s="208"/>
      <c r="J201" s="208"/>
      <c r="K201" s="234">
        <v>1</v>
      </c>
      <c r="L201" s="208" t="s">
        <v>81</v>
      </c>
      <c r="M201" s="235">
        <f t="shared" ref="M201:M202" si="42">K201</f>
        <v>1</v>
      </c>
      <c r="N201" s="208" t="s">
        <v>81</v>
      </c>
      <c r="O201" s="218">
        <v>2</v>
      </c>
      <c r="P201" s="208" t="s">
        <v>162</v>
      </c>
      <c r="Q201" s="240">
        <f t="shared" si="29"/>
        <v>2</v>
      </c>
      <c r="R201" s="239"/>
      <c r="S201" s="240">
        <f t="shared" si="30"/>
        <v>2</v>
      </c>
      <c r="T201" s="243" t="s">
        <v>48</v>
      </c>
      <c r="U201" s="196" t="str">
        <f t="shared" si="31"/>
        <v>2 Hrs</v>
      </c>
    </row>
    <row r="202" spans="3:21" s="185" customFormat="1" ht="20.25" customHeight="1">
      <c r="C202" s="198"/>
      <c r="D202" s="203">
        <f t="shared" si="41"/>
        <v>202</v>
      </c>
      <c r="E202" s="207" t="s">
        <v>225</v>
      </c>
      <c r="F202" s="211">
        <f t="shared" si="32"/>
        <v>201</v>
      </c>
      <c r="G202" s="206" t="s">
        <v>44</v>
      </c>
      <c r="H202" s="206"/>
      <c r="I202" s="208"/>
      <c r="J202" s="208"/>
      <c r="K202" s="234"/>
      <c r="L202" s="208" t="s">
        <v>81</v>
      </c>
      <c r="M202" s="235">
        <f t="shared" si="42"/>
        <v>0</v>
      </c>
      <c r="N202" s="208" t="s">
        <v>81</v>
      </c>
      <c r="O202" s="218">
        <v>0.5</v>
      </c>
      <c r="P202" s="208" t="s">
        <v>162</v>
      </c>
      <c r="Q202" s="240">
        <f t="shared" si="29"/>
        <v>0</v>
      </c>
      <c r="R202" s="239"/>
      <c r="S202" s="240">
        <f t="shared" si="30"/>
        <v>0</v>
      </c>
      <c r="T202" s="243" t="s">
        <v>48</v>
      </c>
      <c r="U202" s="196" t="str">
        <f t="shared" si="31"/>
        <v>0 Hrs</v>
      </c>
    </row>
    <row r="203" spans="3:21" s="185" customFormat="1" ht="20.25" customHeight="1">
      <c r="C203" s="198">
        <f>D203</f>
        <v>203</v>
      </c>
      <c r="D203" s="203">
        <f t="shared" si="41"/>
        <v>203</v>
      </c>
      <c r="E203" s="209" t="s">
        <v>226</v>
      </c>
      <c r="F203" s="210">
        <f>D200</f>
        <v>200</v>
      </c>
      <c r="G203" s="206"/>
      <c r="H203" s="206"/>
      <c r="I203" s="208"/>
      <c r="J203" s="208"/>
      <c r="K203" s="234"/>
      <c r="L203" s="208"/>
      <c r="M203" s="217"/>
      <c r="N203" s="208"/>
      <c r="O203" s="218"/>
      <c r="P203" s="208"/>
      <c r="Q203" s="240"/>
      <c r="R203" s="239"/>
      <c r="S203" s="240"/>
      <c r="T203" s="216"/>
      <c r="U203" s="196"/>
    </row>
    <row r="204" spans="3:21" s="185" customFormat="1" ht="20.25" customHeight="1">
      <c r="C204" s="198"/>
      <c r="D204" s="203">
        <f t="shared" si="41"/>
        <v>204</v>
      </c>
      <c r="E204" s="207" t="s">
        <v>227</v>
      </c>
      <c r="F204" s="211">
        <f t="shared" si="32"/>
        <v>203</v>
      </c>
      <c r="G204" s="206" t="s">
        <v>55</v>
      </c>
      <c r="H204" s="206"/>
      <c r="I204" s="255" t="s">
        <v>1246</v>
      </c>
      <c r="J204" s="208"/>
      <c r="K204" s="234">
        <v>1</v>
      </c>
      <c r="L204" s="208" t="s">
        <v>206</v>
      </c>
      <c r="M204" s="217">
        <v>1</v>
      </c>
      <c r="N204" s="208" t="s">
        <v>84</v>
      </c>
      <c r="O204" s="218">
        <v>10</v>
      </c>
      <c r="P204" s="208" t="s">
        <v>41</v>
      </c>
      <c r="Q204" s="240">
        <f t="shared" si="29"/>
        <v>10</v>
      </c>
      <c r="R204" s="239"/>
      <c r="S204" s="240">
        <f t="shared" si="30"/>
        <v>10</v>
      </c>
      <c r="T204" s="216"/>
      <c r="U204" s="196" t="str">
        <f t="shared" si="31"/>
        <v xml:space="preserve">10 </v>
      </c>
    </row>
    <row r="205" spans="3:21" s="185" customFormat="1" ht="20.25" customHeight="1">
      <c r="C205" s="198">
        <f>D205</f>
        <v>205</v>
      </c>
      <c r="D205" s="203">
        <f t="shared" si="41"/>
        <v>205</v>
      </c>
      <c r="E205" s="209" t="s">
        <v>229</v>
      </c>
      <c r="F205" s="210">
        <f>D203</f>
        <v>203</v>
      </c>
      <c r="G205" s="206"/>
      <c r="H205" s="206"/>
      <c r="I205" s="208"/>
      <c r="J205" s="208"/>
      <c r="K205" s="234"/>
      <c r="L205" s="208"/>
      <c r="M205" s="217"/>
      <c r="N205" s="208"/>
      <c r="O205" s="218"/>
      <c r="P205" s="208"/>
      <c r="Q205" s="240"/>
      <c r="R205" s="239"/>
      <c r="S205" s="240"/>
      <c r="T205" s="216"/>
      <c r="U205" s="196"/>
    </row>
    <row r="206" spans="3:21" s="185" customFormat="1" ht="20.25" customHeight="1">
      <c r="C206" s="198"/>
      <c r="D206" s="203">
        <f t="shared" si="41"/>
        <v>206</v>
      </c>
      <c r="E206" s="207" t="s">
        <v>230</v>
      </c>
      <c r="F206" s="211"/>
      <c r="G206" s="206" t="s">
        <v>44</v>
      </c>
      <c r="H206" s="206"/>
      <c r="I206" s="208"/>
      <c r="J206" s="208"/>
      <c r="K206" s="234"/>
      <c r="L206" s="208" t="s">
        <v>206</v>
      </c>
      <c r="M206" s="217">
        <v>1</v>
      </c>
      <c r="N206" s="208" t="s">
        <v>206</v>
      </c>
      <c r="O206" s="218">
        <v>3</v>
      </c>
      <c r="P206" s="208" t="s">
        <v>48</v>
      </c>
      <c r="Q206" s="240">
        <f t="shared" si="29"/>
        <v>3</v>
      </c>
      <c r="R206" s="239"/>
      <c r="S206" s="240">
        <f t="shared" si="30"/>
        <v>3</v>
      </c>
      <c r="T206" s="216" t="s">
        <v>48</v>
      </c>
      <c r="U206" s="196" t="str">
        <f t="shared" si="31"/>
        <v>3 Hrs</v>
      </c>
    </row>
    <row r="207" spans="3:21" s="185" customFormat="1" ht="20.25" customHeight="1">
      <c r="C207" s="198"/>
      <c r="D207" s="203">
        <f t="shared" si="41"/>
        <v>207</v>
      </c>
      <c r="E207" s="207" t="s">
        <v>231</v>
      </c>
      <c r="F207" s="211">
        <f t="shared" si="32"/>
        <v>206</v>
      </c>
      <c r="G207" s="206" t="s">
        <v>63</v>
      </c>
      <c r="H207" s="206"/>
      <c r="I207" s="208"/>
      <c r="J207" s="208"/>
      <c r="K207" s="234">
        <v>1</v>
      </c>
      <c r="L207" s="208" t="s">
        <v>232</v>
      </c>
      <c r="M207" s="235">
        <f>1308*2*1</f>
        <v>2616</v>
      </c>
      <c r="N207" s="208" t="s">
        <v>210</v>
      </c>
      <c r="O207" s="246">
        <f>1/100</f>
        <v>0.01</v>
      </c>
      <c r="P207" s="208"/>
      <c r="Q207" s="240">
        <f t="shared" si="29"/>
        <v>26.16</v>
      </c>
      <c r="R207" s="239"/>
      <c r="S207" s="240">
        <f t="shared" si="30"/>
        <v>26.16</v>
      </c>
      <c r="T207" s="216"/>
      <c r="U207" s="196" t="str">
        <f t="shared" si="31"/>
        <v xml:space="preserve">26.16 </v>
      </c>
    </row>
    <row r="208" spans="3:21" s="185" customFormat="1" ht="20.25" customHeight="1">
      <c r="C208" s="198">
        <f>D208</f>
        <v>208</v>
      </c>
      <c r="D208" s="203">
        <f t="shared" si="41"/>
        <v>208</v>
      </c>
      <c r="E208" s="209" t="s">
        <v>233</v>
      </c>
      <c r="F208" s="210">
        <f>D22</f>
        <v>22</v>
      </c>
      <c r="G208" s="206"/>
      <c r="H208" s="206"/>
      <c r="I208" s="208"/>
      <c r="J208" s="208"/>
      <c r="K208" s="234"/>
      <c r="L208" s="208"/>
      <c r="M208" s="217"/>
      <c r="N208" s="208"/>
      <c r="O208" s="218"/>
      <c r="P208" s="208"/>
      <c r="Q208" s="240"/>
      <c r="R208" s="239"/>
      <c r="S208" s="240"/>
      <c r="T208" s="216"/>
      <c r="U208" s="196"/>
    </row>
    <row r="209" spans="3:21" s="185" customFormat="1" ht="20.25" customHeight="1">
      <c r="C209" s="198"/>
      <c r="D209" s="203">
        <f t="shared" si="41"/>
        <v>209</v>
      </c>
      <c r="E209" s="207" t="s">
        <v>234</v>
      </c>
      <c r="F209" s="211"/>
      <c r="G209" s="206"/>
      <c r="H209" s="206"/>
      <c r="I209" s="208"/>
      <c r="J209" s="208"/>
      <c r="K209" s="234">
        <v>1</v>
      </c>
      <c r="L209" s="208" t="s">
        <v>81</v>
      </c>
      <c r="M209" s="235">
        <f t="shared" ref="M209:M212" si="43">K209</f>
        <v>1</v>
      </c>
      <c r="N209" s="208" t="s">
        <v>84</v>
      </c>
      <c r="O209" s="218">
        <v>4</v>
      </c>
      <c r="P209" s="208" t="s">
        <v>41</v>
      </c>
      <c r="Q209" s="240">
        <f t="shared" si="29"/>
        <v>4</v>
      </c>
      <c r="R209" s="239"/>
      <c r="S209" s="240">
        <f t="shared" si="30"/>
        <v>4</v>
      </c>
      <c r="T209" s="216" t="s">
        <v>42</v>
      </c>
      <c r="U209" s="196" t="str">
        <f t="shared" si="31"/>
        <v>4 Days</v>
      </c>
    </row>
    <row r="210" spans="3:21" s="185" customFormat="1" ht="20.25" customHeight="1">
      <c r="C210" s="198"/>
      <c r="D210" s="203">
        <f t="shared" si="41"/>
        <v>210</v>
      </c>
      <c r="E210" s="207" t="s">
        <v>235</v>
      </c>
      <c r="F210" s="211">
        <f t="shared" si="32"/>
        <v>209</v>
      </c>
      <c r="G210" s="206" t="s">
        <v>44</v>
      </c>
      <c r="H210" s="206"/>
      <c r="I210" s="208"/>
      <c r="J210" s="208"/>
      <c r="K210" s="234">
        <v>6</v>
      </c>
      <c r="L210" s="208" t="s">
        <v>81</v>
      </c>
      <c r="M210" s="217">
        <f t="shared" si="43"/>
        <v>6</v>
      </c>
      <c r="N210" s="208" t="s">
        <v>236</v>
      </c>
      <c r="O210" s="218">
        <v>0.25</v>
      </c>
      <c r="P210" s="208" t="s">
        <v>162</v>
      </c>
      <c r="Q210" s="240">
        <f t="shared" si="29"/>
        <v>1.5</v>
      </c>
      <c r="R210" s="239"/>
      <c r="S210" s="240">
        <f t="shared" si="30"/>
        <v>1.5</v>
      </c>
      <c r="T210" s="216" t="s">
        <v>48</v>
      </c>
      <c r="U210" s="196" t="str">
        <f t="shared" si="31"/>
        <v>1.5 Hrs</v>
      </c>
    </row>
    <row r="211" spans="3:21" s="185" customFormat="1" ht="20.25" customHeight="1">
      <c r="C211" s="198"/>
      <c r="D211" s="203">
        <f t="shared" si="41"/>
        <v>211</v>
      </c>
      <c r="E211" s="207" t="s">
        <v>237</v>
      </c>
      <c r="F211" s="211">
        <f t="shared" si="32"/>
        <v>210</v>
      </c>
      <c r="G211" s="206" t="s">
        <v>238</v>
      </c>
      <c r="H211" s="206"/>
      <c r="I211" s="208"/>
      <c r="J211" s="208"/>
      <c r="K211" s="234">
        <v>6</v>
      </c>
      <c r="L211" s="208" t="s">
        <v>81</v>
      </c>
      <c r="M211" s="217">
        <f t="shared" si="43"/>
        <v>6</v>
      </c>
      <c r="N211" s="208" t="s">
        <v>81</v>
      </c>
      <c r="O211" s="218">
        <v>0.45</v>
      </c>
      <c r="P211" s="208" t="s">
        <v>162</v>
      </c>
      <c r="Q211" s="240">
        <f t="shared" si="29"/>
        <v>2.7</v>
      </c>
      <c r="R211" s="239"/>
      <c r="S211" s="240">
        <f t="shared" si="30"/>
        <v>2.7</v>
      </c>
      <c r="T211" s="216" t="s">
        <v>48</v>
      </c>
      <c r="U211" s="196" t="str">
        <f t="shared" si="31"/>
        <v>2.7 Hrs</v>
      </c>
    </row>
    <row r="212" spans="3:21" s="185" customFormat="1" ht="20.25" customHeight="1">
      <c r="C212" s="198"/>
      <c r="D212" s="203">
        <f t="shared" si="41"/>
        <v>212</v>
      </c>
      <c r="E212" s="207" t="s">
        <v>239</v>
      </c>
      <c r="F212" s="211">
        <f t="shared" si="32"/>
        <v>211</v>
      </c>
      <c r="G212" s="206" t="s">
        <v>240</v>
      </c>
      <c r="H212" s="206"/>
      <c r="I212" s="208"/>
      <c r="J212" s="208"/>
      <c r="K212" s="234">
        <v>6</v>
      </c>
      <c r="L212" s="208" t="s">
        <v>81</v>
      </c>
      <c r="M212" s="217">
        <f t="shared" si="43"/>
        <v>6</v>
      </c>
      <c r="N212" s="208" t="s">
        <v>81</v>
      </c>
      <c r="O212" s="218">
        <v>0.5</v>
      </c>
      <c r="P212" s="208" t="s">
        <v>162</v>
      </c>
      <c r="Q212" s="240">
        <f t="shared" si="29"/>
        <v>3</v>
      </c>
      <c r="R212" s="239"/>
      <c r="S212" s="240">
        <f t="shared" si="30"/>
        <v>3</v>
      </c>
      <c r="T212" s="216" t="s">
        <v>48</v>
      </c>
      <c r="U212" s="196" t="str">
        <f t="shared" si="31"/>
        <v>3 Hrs</v>
      </c>
    </row>
    <row r="213" spans="3:21" s="185" customFormat="1" ht="20.25" customHeight="1">
      <c r="C213" s="198">
        <f>D213</f>
        <v>213</v>
      </c>
      <c r="D213" s="203">
        <f t="shared" si="41"/>
        <v>213</v>
      </c>
      <c r="E213" s="209" t="s">
        <v>241</v>
      </c>
      <c r="F213" s="210">
        <f>D21</f>
        <v>21</v>
      </c>
      <c r="G213" s="206"/>
      <c r="H213" s="206"/>
      <c r="I213" s="208"/>
      <c r="J213" s="208"/>
      <c r="K213" s="234"/>
      <c r="L213" s="208"/>
      <c r="M213" s="217"/>
      <c r="N213" s="208"/>
      <c r="O213" s="218"/>
      <c r="P213" s="208"/>
      <c r="Q213" s="240"/>
      <c r="R213" s="239"/>
      <c r="S213" s="240"/>
      <c r="T213" s="216"/>
      <c r="U213" s="196"/>
    </row>
    <row r="214" spans="3:21" s="185" customFormat="1" ht="20.25" customHeight="1">
      <c r="C214" s="198"/>
      <c r="D214" s="203">
        <f t="shared" si="41"/>
        <v>214</v>
      </c>
      <c r="E214" s="207" t="s">
        <v>242</v>
      </c>
      <c r="F214" s="211"/>
      <c r="G214" s="206"/>
      <c r="H214" s="206"/>
      <c r="I214" s="208"/>
      <c r="J214" s="208"/>
      <c r="K214" s="234">
        <v>1</v>
      </c>
      <c r="L214" s="208" t="s">
        <v>81</v>
      </c>
      <c r="M214" s="235">
        <f t="shared" ref="M214:M217" si="44">K214</f>
        <v>1</v>
      </c>
      <c r="N214" s="208" t="s">
        <v>84</v>
      </c>
      <c r="O214" s="218">
        <v>4</v>
      </c>
      <c r="P214" s="208" t="s">
        <v>41</v>
      </c>
      <c r="Q214" s="240">
        <f t="shared" si="29"/>
        <v>4</v>
      </c>
      <c r="R214" s="239"/>
      <c r="S214" s="240">
        <f t="shared" si="30"/>
        <v>4</v>
      </c>
      <c r="T214" s="216" t="s">
        <v>48</v>
      </c>
      <c r="U214" s="196" t="str">
        <f t="shared" si="31"/>
        <v>4 Hrs</v>
      </c>
    </row>
    <row r="215" spans="3:21" s="185" customFormat="1" ht="20.25" customHeight="1">
      <c r="C215" s="198"/>
      <c r="D215" s="203">
        <f t="shared" si="41"/>
        <v>215</v>
      </c>
      <c r="E215" s="207" t="s">
        <v>243</v>
      </c>
      <c r="F215" s="211">
        <f t="shared" si="32"/>
        <v>214</v>
      </c>
      <c r="G215" s="206" t="s">
        <v>44</v>
      </c>
      <c r="H215" s="206"/>
      <c r="I215" s="208"/>
      <c r="J215" s="208"/>
      <c r="K215" s="234">
        <v>72</v>
      </c>
      <c r="L215" s="208" t="s">
        <v>81</v>
      </c>
      <c r="M215" s="217">
        <f t="shared" si="44"/>
        <v>72</v>
      </c>
      <c r="N215" s="208" t="s">
        <v>236</v>
      </c>
      <c r="O215" s="218">
        <v>0.1</v>
      </c>
      <c r="P215" s="208" t="s">
        <v>162</v>
      </c>
      <c r="Q215" s="240">
        <f t="shared" si="29"/>
        <v>7.2</v>
      </c>
      <c r="R215" s="239"/>
      <c r="S215" s="240">
        <f t="shared" si="30"/>
        <v>7.2</v>
      </c>
      <c r="T215" s="216" t="s">
        <v>48</v>
      </c>
      <c r="U215" s="196" t="str">
        <f t="shared" si="31"/>
        <v>7.2 Hrs</v>
      </c>
    </row>
    <row r="216" spans="3:21" s="185" customFormat="1" ht="20.25" customHeight="1">
      <c r="C216" s="198"/>
      <c r="D216" s="203">
        <f t="shared" si="41"/>
        <v>216</v>
      </c>
      <c r="E216" s="207" t="s">
        <v>244</v>
      </c>
      <c r="F216" s="211">
        <f t="shared" si="32"/>
        <v>215</v>
      </c>
      <c r="G216" s="206" t="s">
        <v>238</v>
      </c>
      <c r="H216" s="206"/>
      <c r="I216" s="208"/>
      <c r="J216" s="208"/>
      <c r="K216" s="234">
        <v>72</v>
      </c>
      <c r="L216" s="208" t="s">
        <v>81</v>
      </c>
      <c r="M216" s="217">
        <f t="shared" si="44"/>
        <v>72</v>
      </c>
      <c r="N216" s="208" t="s">
        <v>236</v>
      </c>
      <c r="O216" s="218">
        <v>0.1</v>
      </c>
      <c r="P216" s="208" t="s">
        <v>162</v>
      </c>
      <c r="Q216" s="240">
        <f t="shared" si="29"/>
        <v>7.2</v>
      </c>
      <c r="R216" s="239"/>
      <c r="S216" s="240">
        <f t="shared" si="30"/>
        <v>7.2</v>
      </c>
      <c r="T216" s="216" t="s">
        <v>48</v>
      </c>
      <c r="U216" s="196" t="str">
        <f t="shared" si="31"/>
        <v>7.2 Hrs</v>
      </c>
    </row>
    <row r="217" spans="3:21" s="185" customFormat="1" ht="20.25" customHeight="1">
      <c r="C217" s="198"/>
      <c r="D217" s="203">
        <f t="shared" si="41"/>
        <v>217</v>
      </c>
      <c r="E217" s="207" t="s">
        <v>245</v>
      </c>
      <c r="F217" s="211">
        <f t="shared" si="32"/>
        <v>216</v>
      </c>
      <c r="G217" s="206" t="s">
        <v>217</v>
      </c>
      <c r="H217" s="206"/>
      <c r="I217" s="208"/>
      <c r="J217" s="208"/>
      <c r="K217" s="234">
        <v>72</v>
      </c>
      <c r="L217" s="208" t="s">
        <v>81</v>
      </c>
      <c r="M217" s="217">
        <f t="shared" si="44"/>
        <v>72</v>
      </c>
      <c r="N217" s="208" t="s">
        <v>81</v>
      </c>
      <c r="O217" s="246">
        <f>1/60</f>
        <v>1.6666666666666666E-2</v>
      </c>
      <c r="P217" s="208" t="s">
        <v>162</v>
      </c>
      <c r="Q217" s="240">
        <f t="shared" si="29"/>
        <v>1.2</v>
      </c>
      <c r="R217" s="239"/>
      <c r="S217" s="240">
        <f t="shared" si="30"/>
        <v>1.2</v>
      </c>
      <c r="T217" s="216" t="s">
        <v>48</v>
      </c>
      <c r="U217" s="196" t="str">
        <f t="shared" si="31"/>
        <v>1.2 Hrs</v>
      </c>
    </row>
    <row r="218" spans="3:21" s="185" customFormat="1" ht="20.25" customHeight="1">
      <c r="C218" s="198">
        <f>D218</f>
        <v>218</v>
      </c>
      <c r="D218" s="203">
        <f t="shared" si="41"/>
        <v>218</v>
      </c>
      <c r="E218" s="209" t="s">
        <v>246</v>
      </c>
      <c r="F218" s="210">
        <f>D16</f>
        <v>16</v>
      </c>
      <c r="G218" s="206"/>
      <c r="H218" s="206"/>
      <c r="I218" s="208"/>
      <c r="J218" s="208"/>
      <c r="K218" s="234"/>
      <c r="L218" s="208"/>
      <c r="M218" s="217"/>
      <c r="N218" s="208"/>
      <c r="O218" s="218"/>
      <c r="P218" s="208"/>
      <c r="Q218" s="240"/>
      <c r="R218" s="239"/>
      <c r="S218" s="240"/>
      <c r="T218" s="216"/>
      <c r="U218" s="196"/>
    </row>
    <row r="219" spans="3:21" s="185" customFormat="1" ht="20.25" customHeight="1">
      <c r="C219" s="198"/>
      <c r="D219" s="203">
        <f t="shared" si="41"/>
        <v>219</v>
      </c>
      <c r="E219" s="207" t="s">
        <v>247</v>
      </c>
      <c r="F219" s="211"/>
      <c r="G219" s="206" t="s">
        <v>44</v>
      </c>
      <c r="H219" s="206"/>
      <c r="I219" s="224">
        <v>8</v>
      </c>
      <c r="J219" s="253" t="s">
        <v>1247</v>
      </c>
      <c r="K219" s="234">
        <v>2</v>
      </c>
      <c r="L219" s="208" t="s">
        <v>81</v>
      </c>
      <c r="M219" s="227">
        <f>LEFT(J219,SEARCH(" ",J219,1)-1)*K219*0.001</f>
        <v>11.514000000000001</v>
      </c>
      <c r="N219" s="208" t="s">
        <v>249</v>
      </c>
      <c r="O219" s="246">
        <f>VLOOKUP(I219,BM!$A$2:$X$104,2,FALSE)</f>
        <v>0.1</v>
      </c>
      <c r="P219" s="208" t="s">
        <v>162</v>
      </c>
      <c r="Q219" s="240">
        <f t="shared" si="29"/>
        <v>1.1514000000000002</v>
      </c>
      <c r="R219" s="239"/>
      <c r="S219" s="240">
        <f t="shared" si="30"/>
        <v>1.1499999999999999</v>
      </c>
      <c r="T219" s="216" t="s">
        <v>48</v>
      </c>
      <c r="U219" s="196" t="str">
        <f t="shared" si="31"/>
        <v>1.15 Hrs</v>
      </c>
    </row>
    <row r="220" spans="3:21" s="185" customFormat="1" ht="20.25" customHeight="1">
      <c r="C220" s="198"/>
      <c r="D220" s="203">
        <f t="shared" si="41"/>
        <v>220</v>
      </c>
      <c r="E220" s="207" t="s">
        <v>250</v>
      </c>
      <c r="F220" s="211">
        <f t="shared" si="32"/>
        <v>219</v>
      </c>
      <c r="G220" s="206" t="s">
        <v>52</v>
      </c>
      <c r="H220" s="206"/>
      <c r="I220" s="224">
        <v>40</v>
      </c>
      <c r="J220" s="208" t="str">
        <f t="shared" ref="J220:J224" si="45">J219</f>
        <v>5757 mm</v>
      </c>
      <c r="K220" s="234">
        <v>2</v>
      </c>
      <c r="L220" s="208" t="s">
        <v>81</v>
      </c>
      <c r="M220" s="227">
        <f>LEFT(J220,SEARCH(" ",J220,1)-1)*K220*0.001</f>
        <v>11.514000000000001</v>
      </c>
      <c r="N220" s="208" t="s">
        <v>249</v>
      </c>
      <c r="O220" s="246">
        <f>VLOOKUP(I220,BM!$A$2:$X$104,3,FALSE)</f>
        <v>0.25</v>
      </c>
      <c r="P220" s="208" t="s">
        <v>162</v>
      </c>
      <c r="Q220" s="240">
        <f t="shared" si="29"/>
        <v>2.8785000000000003</v>
      </c>
      <c r="R220" s="239"/>
      <c r="S220" s="240">
        <f t="shared" si="30"/>
        <v>2.88</v>
      </c>
      <c r="T220" s="216" t="s">
        <v>48</v>
      </c>
      <c r="U220" s="196" t="str">
        <f t="shared" si="31"/>
        <v>2.88 Hrs</v>
      </c>
    </row>
    <row r="221" spans="3:21" s="185" customFormat="1" ht="20.25" customHeight="1">
      <c r="C221" s="198"/>
      <c r="D221" s="203">
        <f t="shared" si="41"/>
        <v>221</v>
      </c>
      <c r="E221" s="207" t="s">
        <v>251</v>
      </c>
      <c r="F221" s="211">
        <f t="shared" si="32"/>
        <v>220</v>
      </c>
      <c r="G221" s="206" t="s">
        <v>201</v>
      </c>
      <c r="H221" s="206"/>
      <c r="I221" s="224">
        <v>40</v>
      </c>
      <c r="J221" s="208" t="str">
        <f t="shared" si="45"/>
        <v>5757 mm</v>
      </c>
      <c r="K221" s="234">
        <v>2</v>
      </c>
      <c r="L221" s="208" t="s">
        <v>81</v>
      </c>
      <c r="M221" s="235">
        <f>K221</f>
        <v>2</v>
      </c>
      <c r="N221" s="208" t="s">
        <v>81</v>
      </c>
      <c r="O221" s="218">
        <v>2</v>
      </c>
      <c r="P221" s="208" t="s">
        <v>162</v>
      </c>
      <c r="Q221" s="240">
        <f t="shared" ref="Q221:Q282" si="46">M221*O221</f>
        <v>4</v>
      </c>
      <c r="R221" s="239"/>
      <c r="S221" s="240">
        <f t="shared" ref="S221:S284" si="47">ROUND(Q221+R221,2)</f>
        <v>4</v>
      </c>
      <c r="T221" s="216" t="s">
        <v>48</v>
      </c>
      <c r="U221" s="196" t="str">
        <f t="shared" ref="U221:U282" si="48">CONCATENATE(S221," ",T221)</f>
        <v>4 Hrs</v>
      </c>
    </row>
    <row r="222" spans="3:21" s="185" customFormat="1" ht="20.25" customHeight="1">
      <c r="C222" s="198"/>
      <c r="D222" s="203">
        <f t="shared" si="41"/>
        <v>222</v>
      </c>
      <c r="E222" s="207" t="s">
        <v>252</v>
      </c>
      <c r="F222" s="211">
        <f t="shared" ref="F222:F282" si="49">D221</f>
        <v>221</v>
      </c>
      <c r="G222" s="206" t="s">
        <v>61</v>
      </c>
      <c r="H222" s="206"/>
      <c r="I222" s="224">
        <v>40</v>
      </c>
      <c r="J222" s="208" t="str">
        <f t="shared" si="45"/>
        <v>5757 mm</v>
      </c>
      <c r="K222" s="234">
        <v>2</v>
      </c>
      <c r="L222" s="208" t="s">
        <v>81</v>
      </c>
      <c r="M222" s="217">
        <v>4</v>
      </c>
      <c r="N222" s="208" t="s">
        <v>81</v>
      </c>
      <c r="O222" s="218">
        <v>4</v>
      </c>
      <c r="P222" s="208" t="s">
        <v>162</v>
      </c>
      <c r="Q222" s="240">
        <f t="shared" si="46"/>
        <v>16</v>
      </c>
      <c r="R222" s="239"/>
      <c r="S222" s="240">
        <f t="shared" si="47"/>
        <v>16</v>
      </c>
      <c r="T222" s="216" t="s">
        <v>48</v>
      </c>
      <c r="U222" s="196" t="str">
        <f t="shared" si="48"/>
        <v>16 Hrs</v>
      </c>
    </row>
    <row r="223" spans="3:21" s="185" customFormat="1" ht="20.25" customHeight="1">
      <c r="C223" s="198"/>
      <c r="D223" s="203">
        <f t="shared" si="41"/>
        <v>223</v>
      </c>
      <c r="E223" s="207" t="s">
        <v>253</v>
      </c>
      <c r="F223" s="211">
        <f t="shared" si="49"/>
        <v>222</v>
      </c>
      <c r="G223" s="206" t="s">
        <v>240</v>
      </c>
      <c r="H223" s="206"/>
      <c r="I223" s="224">
        <v>40</v>
      </c>
      <c r="J223" s="208" t="str">
        <f t="shared" si="45"/>
        <v>5757 mm</v>
      </c>
      <c r="K223" s="234">
        <v>2</v>
      </c>
      <c r="L223" s="208" t="s">
        <v>81</v>
      </c>
      <c r="M223" s="217">
        <v>4</v>
      </c>
      <c r="N223" s="208" t="s">
        <v>81</v>
      </c>
      <c r="O223" s="218">
        <v>1</v>
      </c>
      <c r="P223" s="208" t="s">
        <v>162</v>
      </c>
      <c r="Q223" s="240">
        <f t="shared" si="46"/>
        <v>4</v>
      </c>
      <c r="R223" s="239"/>
      <c r="S223" s="240">
        <f t="shared" si="47"/>
        <v>4</v>
      </c>
      <c r="T223" s="216" t="s">
        <v>48</v>
      </c>
      <c r="U223" s="196" t="str">
        <f t="shared" si="48"/>
        <v>4 Hrs</v>
      </c>
    </row>
    <row r="224" spans="3:21" s="185" customFormat="1" ht="20.25" customHeight="1">
      <c r="C224" s="198"/>
      <c r="D224" s="203">
        <f t="shared" si="41"/>
        <v>224</v>
      </c>
      <c r="E224" s="207" t="s">
        <v>254</v>
      </c>
      <c r="F224" s="211">
        <f t="shared" si="49"/>
        <v>223</v>
      </c>
      <c r="G224" s="206" t="s">
        <v>61</v>
      </c>
      <c r="H224" s="206"/>
      <c r="I224" s="224">
        <v>40</v>
      </c>
      <c r="J224" s="208" t="str">
        <f t="shared" si="45"/>
        <v>5757 mm</v>
      </c>
      <c r="K224" s="234">
        <v>2</v>
      </c>
      <c r="L224" s="208" t="s">
        <v>81</v>
      </c>
      <c r="M224" s="217">
        <v>4</v>
      </c>
      <c r="N224" s="208" t="s">
        <v>81</v>
      </c>
      <c r="O224" s="218">
        <v>1</v>
      </c>
      <c r="P224" s="208" t="s">
        <v>162</v>
      </c>
      <c r="Q224" s="240">
        <f t="shared" si="46"/>
        <v>4</v>
      </c>
      <c r="R224" s="239"/>
      <c r="S224" s="240">
        <f t="shared" si="47"/>
        <v>4</v>
      </c>
      <c r="T224" s="216" t="s">
        <v>48</v>
      </c>
      <c r="U224" s="196" t="str">
        <f t="shared" si="48"/>
        <v>4 Hrs</v>
      </c>
    </row>
    <row r="225" spans="3:21" s="185" customFormat="1" ht="20.25" customHeight="1">
      <c r="C225" s="198">
        <f>D225</f>
        <v>225</v>
      </c>
      <c r="D225" s="203">
        <f t="shared" si="41"/>
        <v>225</v>
      </c>
      <c r="E225" s="209" t="s">
        <v>255</v>
      </c>
      <c r="F225" s="210">
        <f>D17</f>
        <v>17</v>
      </c>
      <c r="G225" s="206"/>
      <c r="H225" s="206"/>
      <c r="I225" s="208"/>
      <c r="J225" s="208"/>
      <c r="K225" s="234"/>
      <c r="L225" s="208"/>
      <c r="M225" s="217"/>
      <c r="N225" s="208"/>
      <c r="O225" s="218"/>
      <c r="P225" s="208"/>
      <c r="Q225" s="240"/>
      <c r="R225" s="239"/>
      <c r="S225" s="240"/>
      <c r="T225" s="216"/>
      <c r="U225" s="196"/>
    </row>
    <row r="226" spans="3:21" s="185" customFormat="1" ht="20.25" customHeight="1">
      <c r="C226" s="198"/>
      <c r="D226" s="203">
        <f t="shared" si="41"/>
        <v>226</v>
      </c>
      <c r="E226" s="207" t="s">
        <v>256</v>
      </c>
      <c r="F226" s="211"/>
      <c r="G226" s="206" t="s">
        <v>44</v>
      </c>
      <c r="H226" s="206"/>
      <c r="I226" s="224">
        <v>16</v>
      </c>
      <c r="J226" s="253" t="s">
        <v>1247</v>
      </c>
      <c r="K226" s="234">
        <v>2</v>
      </c>
      <c r="L226" s="208" t="s">
        <v>81</v>
      </c>
      <c r="M226" s="227">
        <f>LEFT(J226,SEARCH(" ",J226,1)-1)*K226*0.001</f>
        <v>11.514000000000001</v>
      </c>
      <c r="N226" s="208" t="s">
        <v>249</v>
      </c>
      <c r="O226" s="246">
        <f>VLOOKUP(I226,BM!$A$2:$X$104,2,FALSE)</f>
        <v>0.1</v>
      </c>
      <c r="P226" s="208" t="s">
        <v>162</v>
      </c>
      <c r="Q226" s="240">
        <f t="shared" si="46"/>
        <v>1.1514000000000002</v>
      </c>
      <c r="R226" s="239"/>
      <c r="S226" s="240">
        <f t="shared" si="47"/>
        <v>1.1499999999999999</v>
      </c>
      <c r="T226" s="216" t="s">
        <v>48</v>
      </c>
      <c r="U226" s="196" t="str">
        <f t="shared" si="48"/>
        <v>1.15 Hrs</v>
      </c>
    </row>
    <row r="227" spans="3:21" s="185" customFormat="1" ht="20.25" customHeight="1">
      <c r="C227" s="198"/>
      <c r="D227" s="203">
        <f t="shared" si="41"/>
        <v>227</v>
      </c>
      <c r="E227" s="207" t="s">
        <v>258</v>
      </c>
      <c r="F227" s="211">
        <f t="shared" si="49"/>
        <v>226</v>
      </c>
      <c r="G227" s="206" t="s">
        <v>52</v>
      </c>
      <c r="H227" s="206"/>
      <c r="I227" s="233">
        <f t="shared" ref="I227:K231" si="50">I226</f>
        <v>16</v>
      </c>
      <c r="J227" s="211" t="str">
        <f t="shared" si="50"/>
        <v>5757 mm</v>
      </c>
      <c r="K227" s="225">
        <f t="shared" si="50"/>
        <v>2</v>
      </c>
      <c r="L227" s="208" t="s">
        <v>81</v>
      </c>
      <c r="M227" s="227">
        <f>LEFT(J227,SEARCH(" ",J227,1)-1)*K227*0.001</f>
        <v>11.514000000000001</v>
      </c>
      <c r="N227" s="208" t="s">
        <v>249</v>
      </c>
      <c r="O227" s="246">
        <f>VLOOKUP(I227,BM!$A$2:$X$104,3,FALSE)</f>
        <v>0.25</v>
      </c>
      <c r="P227" s="208" t="s">
        <v>162</v>
      </c>
      <c r="Q227" s="240">
        <f t="shared" si="46"/>
        <v>2.8785000000000003</v>
      </c>
      <c r="R227" s="239"/>
      <c r="S227" s="240">
        <f t="shared" si="47"/>
        <v>2.88</v>
      </c>
      <c r="T227" s="216" t="s">
        <v>48</v>
      </c>
      <c r="U227" s="196" t="str">
        <f t="shared" si="48"/>
        <v>2.88 Hrs</v>
      </c>
    </row>
    <row r="228" spans="3:21" s="185" customFormat="1" ht="20.25" customHeight="1">
      <c r="C228" s="198"/>
      <c r="D228" s="203">
        <f t="shared" si="41"/>
        <v>228</v>
      </c>
      <c r="E228" s="207" t="s">
        <v>259</v>
      </c>
      <c r="F228" s="211">
        <f t="shared" si="49"/>
        <v>227</v>
      </c>
      <c r="G228" s="206" t="s">
        <v>201</v>
      </c>
      <c r="H228" s="206"/>
      <c r="I228" s="233">
        <f t="shared" si="50"/>
        <v>16</v>
      </c>
      <c r="J228" s="211" t="str">
        <f t="shared" si="50"/>
        <v>5757 mm</v>
      </c>
      <c r="K228" s="225">
        <f t="shared" si="50"/>
        <v>2</v>
      </c>
      <c r="L228" s="208" t="s">
        <v>81</v>
      </c>
      <c r="M228" s="235">
        <f>K228</f>
        <v>2</v>
      </c>
      <c r="N228" s="208" t="s">
        <v>81</v>
      </c>
      <c r="O228" s="218">
        <v>2</v>
      </c>
      <c r="P228" s="208" t="s">
        <v>162</v>
      </c>
      <c r="Q228" s="240">
        <f t="shared" si="46"/>
        <v>4</v>
      </c>
      <c r="R228" s="239"/>
      <c r="S228" s="240">
        <f t="shared" si="47"/>
        <v>4</v>
      </c>
      <c r="T228" s="216" t="s">
        <v>48</v>
      </c>
      <c r="U228" s="196" t="str">
        <f t="shared" si="48"/>
        <v>4 Hrs</v>
      </c>
    </row>
    <row r="229" spans="3:21" s="185" customFormat="1" ht="20.25" customHeight="1">
      <c r="C229" s="198"/>
      <c r="D229" s="203">
        <f t="shared" si="41"/>
        <v>229</v>
      </c>
      <c r="E229" s="207" t="s">
        <v>260</v>
      </c>
      <c r="F229" s="211">
        <f t="shared" si="49"/>
        <v>228</v>
      </c>
      <c r="G229" s="206" t="s">
        <v>61</v>
      </c>
      <c r="H229" s="206"/>
      <c r="I229" s="233">
        <f t="shared" si="50"/>
        <v>16</v>
      </c>
      <c r="J229" s="211" t="str">
        <f t="shared" si="50"/>
        <v>5757 mm</v>
      </c>
      <c r="K229" s="225">
        <f t="shared" si="50"/>
        <v>2</v>
      </c>
      <c r="L229" s="208" t="s">
        <v>81</v>
      </c>
      <c r="M229" s="217">
        <v>4</v>
      </c>
      <c r="N229" s="208" t="s">
        <v>81</v>
      </c>
      <c r="O229" s="218">
        <v>4</v>
      </c>
      <c r="P229" s="208" t="s">
        <v>162</v>
      </c>
      <c r="Q229" s="240">
        <f t="shared" si="46"/>
        <v>16</v>
      </c>
      <c r="R229" s="239"/>
      <c r="S229" s="240">
        <f t="shared" si="47"/>
        <v>16</v>
      </c>
      <c r="T229" s="216" t="s">
        <v>48</v>
      </c>
      <c r="U229" s="196" t="str">
        <f t="shared" si="48"/>
        <v>16 Hrs</v>
      </c>
    </row>
    <row r="230" spans="3:21" s="185" customFormat="1" ht="20.25" customHeight="1">
      <c r="C230" s="198"/>
      <c r="D230" s="203">
        <f t="shared" si="41"/>
        <v>230</v>
      </c>
      <c r="E230" s="207" t="s">
        <v>261</v>
      </c>
      <c r="F230" s="211">
        <f t="shared" si="49"/>
        <v>229</v>
      </c>
      <c r="G230" s="206" t="s">
        <v>240</v>
      </c>
      <c r="H230" s="206"/>
      <c r="I230" s="233">
        <f t="shared" si="50"/>
        <v>16</v>
      </c>
      <c r="J230" s="211" t="str">
        <f t="shared" si="50"/>
        <v>5757 mm</v>
      </c>
      <c r="K230" s="225">
        <f t="shared" si="50"/>
        <v>2</v>
      </c>
      <c r="L230" s="208" t="s">
        <v>81</v>
      </c>
      <c r="M230" s="217">
        <v>4</v>
      </c>
      <c r="N230" s="208" t="s">
        <v>81</v>
      </c>
      <c r="O230" s="218">
        <v>1</v>
      </c>
      <c r="P230" s="208" t="s">
        <v>162</v>
      </c>
      <c r="Q230" s="240">
        <f t="shared" si="46"/>
        <v>4</v>
      </c>
      <c r="R230" s="239"/>
      <c r="S230" s="240">
        <f t="shared" si="47"/>
        <v>4</v>
      </c>
      <c r="T230" s="216" t="s">
        <v>48</v>
      </c>
      <c r="U230" s="196" t="str">
        <f t="shared" si="48"/>
        <v>4 Hrs</v>
      </c>
    </row>
    <row r="231" spans="3:21" s="185" customFormat="1" ht="20.25" customHeight="1">
      <c r="C231" s="198"/>
      <c r="D231" s="203">
        <f t="shared" si="41"/>
        <v>231</v>
      </c>
      <c r="E231" s="207" t="s">
        <v>262</v>
      </c>
      <c r="F231" s="211">
        <f t="shared" si="49"/>
        <v>230</v>
      </c>
      <c r="G231" s="206" t="s">
        <v>61</v>
      </c>
      <c r="H231" s="206"/>
      <c r="I231" s="233">
        <f t="shared" si="50"/>
        <v>16</v>
      </c>
      <c r="J231" s="211" t="str">
        <f t="shared" si="50"/>
        <v>5757 mm</v>
      </c>
      <c r="K231" s="225">
        <f t="shared" si="50"/>
        <v>2</v>
      </c>
      <c r="L231" s="208" t="s">
        <v>81</v>
      </c>
      <c r="M231" s="217">
        <v>4</v>
      </c>
      <c r="N231" s="208" t="s">
        <v>81</v>
      </c>
      <c r="O231" s="218">
        <v>1</v>
      </c>
      <c r="P231" s="208" t="s">
        <v>162</v>
      </c>
      <c r="Q231" s="240">
        <f t="shared" si="46"/>
        <v>4</v>
      </c>
      <c r="R231" s="239"/>
      <c r="S231" s="240">
        <f t="shared" si="47"/>
        <v>4</v>
      </c>
      <c r="T231" s="216" t="s">
        <v>48</v>
      </c>
      <c r="U231" s="196" t="str">
        <f t="shared" si="48"/>
        <v>4 Hrs</v>
      </c>
    </row>
    <row r="232" spans="3:21" s="185" customFormat="1" ht="20.25" customHeight="1">
      <c r="C232" s="198">
        <f>D232</f>
        <v>232</v>
      </c>
      <c r="D232" s="203">
        <f t="shared" si="41"/>
        <v>232</v>
      </c>
      <c r="E232" s="209" t="s">
        <v>263</v>
      </c>
      <c r="F232" s="210">
        <f>D18</f>
        <v>18</v>
      </c>
      <c r="G232" s="206"/>
      <c r="H232" s="206"/>
      <c r="I232" s="208"/>
      <c r="J232" s="208"/>
      <c r="K232" s="234"/>
      <c r="L232" s="208"/>
      <c r="M232" s="217"/>
      <c r="N232" s="208"/>
      <c r="O232" s="218"/>
      <c r="P232" s="208"/>
      <c r="Q232" s="240"/>
      <c r="R232" s="239"/>
      <c r="S232" s="240"/>
      <c r="T232" s="216"/>
      <c r="U232" s="196"/>
    </row>
    <row r="233" spans="3:21" s="185" customFormat="1" ht="20.25" customHeight="1">
      <c r="C233" s="198"/>
      <c r="D233" s="203">
        <f t="shared" si="41"/>
        <v>233</v>
      </c>
      <c r="E233" s="207" t="s">
        <v>264</v>
      </c>
      <c r="F233" s="211"/>
      <c r="G233" s="206" t="s">
        <v>37</v>
      </c>
      <c r="H233" s="206"/>
      <c r="I233" s="208"/>
      <c r="J233" s="208"/>
      <c r="K233" s="234"/>
      <c r="L233" s="208" t="s">
        <v>84</v>
      </c>
      <c r="M233" s="217">
        <v>1</v>
      </c>
      <c r="N233" s="208"/>
      <c r="O233" s="218">
        <v>4</v>
      </c>
      <c r="P233" s="208" t="s">
        <v>41</v>
      </c>
      <c r="Q233" s="240">
        <f t="shared" si="46"/>
        <v>4</v>
      </c>
      <c r="R233" s="239"/>
      <c r="S233" s="240">
        <f t="shared" si="47"/>
        <v>4</v>
      </c>
      <c r="T233" s="216" t="s">
        <v>42</v>
      </c>
      <c r="U233" s="196" t="str">
        <f t="shared" si="48"/>
        <v>4 Days</v>
      </c>
    </row>
    <row r="234" spans="3:21" s="185" customFormat="1" ht="20.25" customHeight="1">
      <c r="C234" s="198"/>
      <c r="D234" s="203">
        <f t="shared" si="41"/>
        <v>234</v>
      </c>
      <c r="E234" s="207" t="s">
        <v>265</v>
      </c>
      <c r="F234" s="211">
        <f t="shared" si="49"/>
        <v>233</v>
      </c>
      <c r="G234" s="206" t="s">
        <v>44</v>
      </c>
      <c r="H234" s="206"/>
      <c r="I234" s="224" t="s">
        <v>266</v>
      </c>
      <c r="J234" s="225">
        <v>14</v>
      </c>
      <c r="K234" s="234"/>
      <c r="L234" s="208" t="s">
        <v>81</v>
      </c>
      <c r="M234" s="235">
        <f>K234</f>
        <v>0</v>
      </c>
      <c r="N234" s="208" t="s">
        <v>81</v>
      </c>
      <c r="O234" s="218">
        <v>0.25</v>
      </c>
      <c r="P234" s="208" t="s">
        <v>162</v>
      </c>
      <c r="Q234" s="240">
        <f t="shared" si="46"/>
        <v>0</v>
      </c>
      <c r="R234" s="239"/>
      <c r="S234" s="240">
        <f t="shared" si="47"/>
        <v>0</v>
      </c>
      <c r="T234" s="216" t="s">
        <v>48</v>
      </c>
      <c r="U234" s="196" t="str">
        <f t="shared" si="48"/>
        <v>0 Hrs</v>
      </c>
    </row>
    <row r="235" spans="3:21" s="185" customFormat="1" ht="20.25" customHeight="1">
      <c r="C235" s="198"/>
      <c r="D235" s="203">
        <f t="shared" si="41"/>
        <v>235</v>
      </c>
      <c r="E235" s="207" t="s">
        <v>267</v>
      </c>
      <c r="F235" s="211">
        <f t="shared" si="49"/>
        <v>234</v>
      </c>
      <c r="G235" s="206" t="s">
        <v>44</v>
      </c>
      <c r="H235" s="206"/>
      <c r="I235" s="233" t="str">
        <f t="shared" ref="I235:K236" si="51">I234</f>
        <v>25.4 dia</v>
      </c>
      <c r="J235" s="211">
        <f>J234</f>
        <v>14</v>
      </c>
      <c r="K235" s="225">
        <f t="shared" si="51"/>
        <v>0</v>
      </c>
      <c r="L235" s="208" t="s">
        <v>81</v>
      </c>
      <c r="M235" s="235">
        <f>K235</f>
        <v>0</v>
      </c>
      <c r="N235" s="208" t="s">
        <v>81</v>
      </c>
      <c r="O235" s="218">
        <v>0.5</v>
      </c>
      <c r="P235" s="208" t="s">
        <v>162</v>
      </c>
      <c r="Q235" s="240">
        <f t="shared" si="46"/>
        <v>0</v>
      </c>
      <c r="R235" s="239"/>
      <c r="S235" s="240">
        <f t="shared" si="47"/>
        <v>0</v>
      </c>
      <c r="T235" s="216" t="s">
        <v>48</v>
      </c>
      <c r="U235" s="196" t="str">
        <f t="shared" si="48"/>
        <v>0 Hrs</v>
      </c>
    </row>
    <row r="236" spans="3:21" s="185" customFormat="1" ht="20.25" customHeight="1">
      <c r="C236" s="198"/>
      <c r="D236" s="203">
        <f t="shared" si="41"/>
        <v>236</v>
      </c>
      <c r="E236" s="207" t="s">
        <v>268</v>
      </c>
      <c r="F236" s="211">
        <f t="shared" si="49"/>
        <v>235</v>
      </c>
      <c r="G236" s="206" t="s">
        <v>201</v>
      </c>
      <c r="H236" s="206"/>
      <c r="I236" s="233" t="str">
        <f t="shared" si="51"/>
        <v>25.4 dia</v>
      </c>
      <c r="J236" s="211">
        <f>J235</f>
        <v>14</v>
      </c>
      <c r="K236" s="225">
        <f t="shared" si="51"/>
        <v>0</v>
      </c>
      <c r="L236" s="208" t="s">
        <v>81</v>
      </c>
      <c r="M236" s="235">
        <f>K236</f>
        <v>0</v>
      </c>
      <c r="N236" s="208" t="s">
        <v>81</v>
      </c>
      <c r="O236" s="218">
        <v>1</v>
      </c>
      <c r="P236" s="208" t="s">
        <v>162</v>
      </c>
      <c r="Q236" s="240">
        <f t="shared" si="46"/>
        <v>0</v>
      </c>
      <c r="R236" s="239"/>
      <c r="S236" s="240">
        <f t="shared" si="47"/>
        <v>0</v>
      </c>
      <c r="T236" s="216" t="s">
        <v>48</v>
      </c>
      <c r="U236" s="196" t="str">
        <f t="shared" si="48"/>
        <v>0 Hrs</v>
      </c>
    </row>
    <row r="237" spans="3:21" s="185" customFormat="1" ht="20.25" customHeight="1">
      <c r="C237" s="198">
        <f t="shared" ref="C237:C238" si="52">D237</f>
        <v>237</v>
      </c>
      <c r="D237" s="203">
        <f t="shared" si="41"/>
        <v>237</v>
      </c>
      <c r="E237" s="248" t="s">
        <v>269</v>
      </c>
      <c r="F237" s="211">
        <f t="shared" si="49"/>
        <v>236</v>
      </c>
      <c r="G237" s="206"/>
      <c r="H237" s="206"/>
      <c r="I237" s="208"/>
      <c r="J237" s="208"/>
      <c r="K237" s="234"/>
      <c r="L237" s="208"/>
      <c r="M237" s="217"/>
      <c r="N237" s="208"/>
      <c r="O237" s="218"/>
      <c r="P237" s="208"/>
      <c r="Q237" s="240"/>
      <c r="R237" s="239"/>
      <c r="S237" s="240"/>
      <c r="T237" s="216"/>
      <c r="U237" s="196"/>
    </row>
    <row r="238" spans="3:21" s="185" customFormat="1" ht="20.25" customHeight="1">
      <c r="C238" s="198">
        <f t="shared" si="52"/>
        <v>238</v>
      </c>
      <c r="D238" s="203">
        <f t="shared" si="41"/>
        <v>238</v>
      </c>
      <c r="E238" s="209" t="s">
        <v>270</v>
      </c>
      <c r="F238" s="210">
        <f>D3</f>
        <v>3</v>
      </c>
      <c r="G238" s="206"/>
      <c r="H238" s="206"/>
      <c r="I238" s="208"/>
      <c r="J238" s="208"/>
      <c r="K238" s="234"/>
      <c r="L238" s="208"/>
      <c r="M238" s="217"/>
      <c r="N238" s="208"/>
      <c r="O238" s="218"/>
      <c r="P238" s="208"/>
      <c r="Q238" s="240"/>
      <c r="R238" s="239"/>
      <c r="S238" s="240"/>
      <c r="T238" s="216"/>
      <c r="U238" s="196"/>
    </row>
    <row r="239" spans="3:21" s="185" customFormat="1" ht="20.25" customHeight="1">
      <c r="C239" s="198"/>
      <c r="D239" s="203">
        <f t="shared" si="41"/>
        <v>239</v>
      </c>
      <c r="E239" s="207" t="s">
        <v>271</v>
      </c>
      <c r="F239" s="211"/>
      <c r="G239" s="206" t="s">
        <v>37</v>
      </c>
      <c r="H239" s="206"/>
      <c r="I239" s="208"/>
      <c r="J239" s="208"/>
      <c r="K239" s="234">
        <v>1</v>
      </c>
      <c r="L239" s="208" t="s">
        <v>84</v>
      </c>
      <c r="M239" s="217">
        <v>1</v>
      </c>
      <c r="N239" s="208"/>
      <c r="O239" s="218">
        <v>4</v>
      </c>
      <c r="P239" s="208" t="s">
        <v>41</v>
      </c>
      <c r="Q239" s="240">
        <f t="shared" si="46"/>
        <v>4</v>
      </c>
      <c r="R239" s="239"/>
      <c r="S239" s="240">
        <f t="shared" si="47"/>
        <v>4</v>
      </c>
      <c r="T239" s="216" t="s">
        <v>42</v>
      </c>
      <c r="U239" s="196" t="str">
        <f t="shared" si="48"/>
        <v>4 Days</v>
      </c>
    </row>
    <row r="240" spans="3:21" s="185" customFormat="1" ht="20.25" customHeight="1">
      <c r="C240" s="198"/>
      <c r="D240" s="203">
        <f t="shared" si="41"/>
        <v>240</v>
      </c>
      <c r="E240" s="207" t="s">
        <v>272</v>
      </c>
      <c r="F240" s="211">
        <f t="shared" si="49"/>
        <v>239</v>
      </c>
      <c r="G240" s="206" t="s">
        <v>201</v>
      </c>
      <c r="H240" s="206"/>
      <c r="I240" s="224">
        <v>12</v>
      </c>
      <c r="J240" s="252" t="s">
        <v>1248</v>
      </c>
      <c r="K240" s="234">
        <v>1</v>
      </c>
      <c r="L240" s="208" t="s">
        <v>81</v>
      </c>
      <c r="M240" s="227">
        <f>LEFT(J240,SEARCH(" ",J240,1)-1)*K240*0.001</f>
        <v>5.5529999999999999</v>
      </c>
      <c r="N240" s="208" t="s">
        <v>139</v>
      </c>
      <c r="O240" s="246">
        <f>VLOOKUP(I240,BM!$A$2:$X$104,2,FALSE)</f>
        <v>0.1</v>
      </c>
      <c r="P240" s="208" t="s">
        <v>112</v>
      </c>
      <c r="Q240" s="240">
        <f t="shared" si="46"/>
        <v>0.55530000000000002</v>
      </c>
      <c r="R240" s="239">
        <v>1</v>
      </c>
      <c r="S240" s="240">
        <f t="shared" si="47"/>
        <v>1.56</v>
      </c>
      <c r="T240" s="216" t="s">
        <v>48</v>
      </c>
      <c r="U240" s="196" t="str">
        <f t="shared" si="48"/>
        <v>1.56 Hrs</v>
      </c>
    </row>
    <row r="241" spans="3:21" s="185" customFormat="1" ht="20.25" customHeight="1">
      <c r="C241" s="198">
        <f>D241</f>
        <v>241</v>
      </c>
      <c r="D241" s="203">
        <f t="shared" si="41"/>
        <v>241</v>
      </c>
      <c r="E241" s="209" t="s">
        <v>274</v>
      </c>
      <c r="F241" s="210">
        <f>D238</f>
        <v>238</v>
      </c>
      <c r="G241" s="206"/>
      <c r="H241" s="206"/>
      <c r="I241" s="208"/>
      <c r="J241" s="208"/>
      <c r="K241" s="234"/>
      <c r="L241" s="208"/>
      <c r="M241" s="217"/>
      <c r="N241" s="208"/>
      <c r="O241" s="218"/>
      <c r="P241" s="208"/>
      <c r="Q241" s="240"/>
      <c r="R241" s="239"/>
      <c r="S241" s="240"/>
      <c r="T241" s="216"/>
      <c r="U241" s="196"/>
    </row>
    <row r="242" spans="3:21" s="185" customFormat="1" ht="20.25" customHeight="1">
      <c r="C242" s="198"/>
      <c r="D242" s="203">
        <f t="shared" si="41"/>
        <v>242</v>
      </c>
      <c r="E242" s="207" t="s">
        <v>275</v>
      </c>
      <c r="F242" s="211"/>
      <c r="G242" s="206" t="s">
        <v>276</v>
      </c>
      <c r="H242" s="206"/>
      <c r="I242" s="224">
        <v>12</v>
      </c>
      <c r="J242" s="252" t="s">
        <v>1248</v>
      </c>
      <c r="K242" s="234">
        <v>3</v>
      </c>
      <c r="L242" s="208" t="s">
        <v>81</v>
      </c>
      <c r="M242" s="227">
        <f>LEFT(J242,SEARCH(" ",J242,1)-1)*K242*0.001</f>
        <v>16.658999999999999</v>
      </c>
      <c r="N242" s="208" t="s">
        <v>139</v>
      </c>
      <c r="O242" s="246">
        <f>VLOOKUP(I242,BM!$A$2:$X$104,3,FALSE)</f>
        <v>0.25</v>
      </c>
      <c r="P242" s="208" t="s">
        <v>112</v>
      </c>
      <c r="Q242" s="240">
        <f t="shared" si="46"/>
        <v>4.1647499999999997</v>
      </c>
      <c r="R242" s="239">
        <v>1</v>
      </c>
      <c r="S242" s="240">
        <f t="shared" si="47"/>
        <v>5.16</v>
      </c>
      <c r="T242" s="216" t="s">
        <v>48</v>
      </c>
      <c r="U242" s="196" t="str">
        <f t="shared" si="48"/>
        <v>5.16 Hrs</v>
      </c>
    </row>
    <row r="243" spans="3:21" s="185" customFormat="1" ht="20.25" customHeight="1">
      <c r="C243" s="198">
        <f>D243</f>
        <v>243</v>
      </c>
      <c r="D243" s="203">
        <f t="shared" si="41"/>
        <v>243</v>
      </c>
      <c r="E243" s="209" t="s">
        <v>277</v>
      </c>
      <c r="F243" s="210">
        <f>D241</f>
        <v>241</v>
      </c>
      <c r="G243" s="206"/>
      <c r="H243" s="206"/>
      <c r="I243" s="208"/>
      <c r="J243" s="208"/>
      <c r="K243" s="234"/>
      <c r="L243" s="208"/>
      <c r="M243" s="217"/>
      <c r="N243" s="208"/>
      <c r="O243" s="218"/>
      <c r="P243" s="208"/>
      <c r="Q243" s="240"/>
      <c r="R243" s="239"/>
      <c r="S243" s="240"/>
      <c r="T243" s="216"/>
      <c r="U243" s="196"/>
    </row>
    <row r="244" spans="3:21" s="185" customFormat="1" ht="20.25" customHeight="1">
      <c r="C244" s="198"/>
      <c r="D244" s="203">
        <f t="shared" si="41"/>
        <v>244</v>
      </c>
      <c r="E244" s="207" t="s">
        <v>278</v>
      </c>
      <c r="F244" s="211"/>
      <c r="G244" s="206" t="s">
        <v>224</v>
      </c>
      <c r="H244" s="206"/>
      <c r="I244" s="224">
        <v>12</v>
      </c>
      <c r="J244" s="234" t="s">
        <v>279</v>
      </c>
      <c r="K244" s="234">
        <v>1</v>
      </c>
      <c r="L244" s="208" t="s">
        <v>81</v>
      </c>
      <c r="M244" s="227">
        <f>LEFT(J244,SEARCH(" ",J244,1)-1)*K244*0.001</f>
        <v>2.5</v>
      </c>
      <c r="N244" s="208" t="s">
        <v>139</v>
      </c>
      <c r="O244" s="246">
        <f>VLOOKUP(I244,BM!$A$2:$X$104,5,FALSE)</f>
        <v>0.5</v>
      </c>
      <c r="P244" s="208" t="s">
        <v>112</v>
      </c>
      <c r="Q244" s="240">
        <f t="shared" si="46"/>
        <v>1.25</v>
      </c>
      <c r="R244" s="239">
        <v>1</v>
      </c>
      <c r="S244" s="240">
        <f t="shared" si="47"/>
        <v>2.25</v>
      </c>
      <c r="T244" s="216" t="s">
        <v>48</v>
      </c>
      <c r="U244" s="196" t="str">
        <f t="shared" si="48"/>
        <v>2.25 Hrs</v>
      </c>
    </row>
    <row r="245" spans="3:21" s="185" customFormat="1" ht="20.25" customHeight="1">
      <c r="C245" s="198"/>
      <c r="D245" s="203">
        <f t="shared" si="41"/>
        <v>245</v>
      </c>
      <c r="E245" s="207" t="s">
        <v>278</v>
      </c>
      <c r="F245" s="211">
        <f t="shared" si="49"/>
        <v>244</v>
      </c>
      <c r="G245" s="206" t="s">
        <v>224</v>
      </c>
      <c r="H245" s="206"/>
      <c r="I245" s="233">
        <v>12</v>
      </c>
      <c r="J245" s="252" t="s">
        <v>1249</v>
      </c>
      <c r="K245" s="234">
        <v>1</v>
      </c>
      <c r="L245" s="208" t="s">
        <v>81</v>
      </c>
      <c r="M245" s="227">
        <f>LEFT(J245,SEARCH(" ",J245,1)-1)*K245*0.001</f>
        <v>2</v>
      </c>
      <c r="N245" s="208" t="s">
        <v>139</v>
      </c>
      <c r="O245" s="246">
        <f>VLOOKUP(I245,BM!$A$2:$X$104,5,FALSE)</f>
        <v>0.5</v>
      </c>
      <c r="P245" s="208" t="s">
        <v>112</v>
      </c>
      <c r="Q245" s="240">
        <f t="shared" si="46"/>
        <v>1</v>
      </c>
      <c r="R245" s="239">
        <v>1</v>
      </c>
      <c r="S245" s="240">
        <f t="shared" si="47"/>
        <v>2</v>
      </c>
      <c r="T245" s="216" t="s">
        <v>48</v>
      </c>
      <c r="U245" s="196" t="str">
        <f t="shared" si="48"/>
        <v>2 Hrs</v>
      </c>
    </row>
    <row r="246" spans="3:21" s="185" customFormat="1" ht="20.25" customHeight="1">
      <c r="C246" s="198"/>
      <c r="D246" s="203">
        <f t="shared" si="41"/>
        <v>246</v>
      </c>
      <c r="E246" s="207" t="s">
        <v>278</v>
      </c>
      <c r="F246" s="211">
        <f t="shared" si="49"/>
        <v>245</v>
      </c>
      <c r="G246" s="206" t="s">
        <v>224</v>
      </c>
      <c r="H246" s="206"/>
      <c r="I246" s="233">
        <v>12</v>
      </c>
      <c r="J246" s="253" t="s">
        <v>1239</v>
      </c>
      <c r="K246" s="234">
        <v>1</v>
      </c>
      <c r="L246" s="208" t="s">
        <v>81</v>
      </c>
      <c r="M246" s="227">
        <f t="shared" ref="M246:M247" si="53">LEFT(J246,SEARCH(" ",J246,1)-1)*K246*0.001</f>
        <v>1</v>
      </c>
      <c r="N246" s="208" t="s">
        <v>139</v>
      </c>
      <c r="O246" s="246">
        <f>VLOOKUP(I246,BM!$A$2:$X$104,5,FALSE)</f>
        <v>0.5</v>
      </c>
      <c r="P246" s="208" t="s">
        <v>112</v>
      </c>
      <c r="Q246" s="240">
        <f t="shared" si="46"/>
        <v>0.5</v>
      </c>
      <c r="R246" s="239">
        <v>1</v>
      </c>
      <c r="S246" s="240">
        <f t="shared" si="47"/>
        <v>1.5</v>
      </c>
      <c r="T246" s="216" t="s">
        <v>48</v>
      </c>
      <c r="U246" s="196" t="str">
        <f t="shared" si="48"/>
        <v>1.5 Hrs</v>
      </c>
    </row>
    <row r="247" spans="3:21" s="185" customFormat="1" ht="20.25" customHeight="1">
      <c r="C247" s="198"/>
      <c r="D247" s="203">
        <f t="shared" si="41"/>
        <v>247</v>
      </c>
      <c r="E247" s="207" t="s">
        <v>278</v>
      </c>
      <c r="F247" s="211">
        <f t="shared" si="49"/>
        <v>246</v>
      </c>
      <c r="G247" s="206" t="s">
        <v>224</v>
      </c>
      <c r="H247" s="206"/>
      <c r="I247" s="233"/>
      <c r="J247" s="234" t="s">
        <v>281</v>
      </c>
      <c r="K247" s="234">
        <v>1</v>
      </c>
      <c r="L247" s="208" t="s">
        <v>81</v>
      </c>
      <c r="M247" s="227">
        <f t="shared" si="53"/>
        <v>0</v>
      </c>
      <c r="N247" s="208" t="s">
        <v>139</v>
      </c>
      <c r="O247" s="246" t="e">
        <f>VLOOKUP(I247,BM!$A$2:$X$104,5,FALSE)</f>
        <v>#N/A</v>
      </c>
      <c r="P247" s="208" t="s">
        <v>112</v>
      </c>
      <c r="Q247" s="240" t="e">
        <f t="shared" si="46"/>
        <v>#N/A</v>
      </c>
      <c r="R247" s="239"/>
      <c r="S247" s="240"/>
      <c r="T247" s="216" t="s">
        <v>48</v>
      </c>
      <c r="U247" s="196"/>
    </row>
    <row r="248" spans="3:21" s="185" customFormat="1" ht="20.25" customHeight="1">
      <c r="C248" s="198">
        <f>D248</f>
        <v>248</v>
      </c>
      <c r="D248" s="203">
        <f t="shared" si="41"/>
        <v>248</v>
      </c>
      <c r="E248" s="209" t="s">
        <v>282</v>
      </c>
      <c r="F248" s="210">
        <f>D243</f>
        <v>243</v>
      </c>
      <c r="G248" s="206"/>
      <c r="H248" s="206"/>
      <c r="I248" s="208"/>
      <c r="J248" s="208"/>
      <c r="K248" s="234"/>
      <c r="L248" s="208"/>
      <c r="M248" s="217"/>
      <c r="N248" s="208"/>
      <c r="O248" s="218"/>
      <c r="P248" s="208"/>
      <c r="Q248" s="240"/>
      <c r="R248" s="239"/>
      <c r="S248" s="240"/>
      <c r="T248" s="216"/>
      <c r="U248" s="196"/>
    </row>
    <row r="249" spans="3:21" s="185" customFormat="1" ht="20.25" customHeight="1">
      <c r="C249" s="198"/>
      <c r="D249" s="203">
        <f t="shared" si="41"/>
        <v>249</v>
      </c>
      <c r="E249" s="207" t="s">
        <v>283</v>
      </c>
      <c r="F249" s="211"/>
      <c r="G249" s="206" t="s">
        <v>121</v>
      </c>
      <c r="H249" s="206"/>
      <c r="I249" s="233">
        <f>I247</f>
        <v>0</v>
      </c>
      <c r="J249" s="211" t="str">
        <f t="shared" ref="J249:K252" si="54">J244</f>
        <v>2500 mm</v>
      </c>
      <c r="K249" s="225">
        <f t="shared" si="54"/>
        <v>1</v>
      </c>
      <c r="L249" s="208" t="s">
        <v>81</v>
      </c>
      <c r="M249" s="227">
        <f t="shared" ref="M249:M252" si="55">LEFT(J249,SEARCH(" ",J249,1)-1)*K249*0.001</f>
        <v>2.5</v>
      </c>
      <c r="N249" s="208" t="s">
        <v>139</v>
      </c>
      <c r="O249" s="246" t="e">
        <f>VLOOKUP(I249,BM!$A$2:$X$104,6,FALSE)</f>
        <v>#N/A</v>
      </c>
      <c r="P249" s="208" t="s">
        <v>112</v>
      </c>
      <c r="Q249" s="240" t="e">
        <f t="shared" si="46"/>
        <v>#N/A</v>
      </c>
      <c r="R249" s="239">
        <v>1</v>
      </c>
      <c r="S249" s="240" t="e">
        <f t="shared" si="47"/>
        <v>#N/A</v>
      </c>
      <c r="T249" s="216" t="s">
        <v>48</v>
      </c>
      <c r="U249" s="196" t="e">
        <f t="shared" si="48"/>
        <v>#N/A</v>
      </c>
    </row>
    <row r="250" spans="3:21" s="185" customFormat="1" ht="20.25" customHeight="1">
      <c r="C250" s="198"/>
      <c r="D250" s="203">
        <f t="shared" si="41"/>
        <v>250</v>
      </c>
      <c r="E250" s="207" t="s">
        <v>283</v>
      </c>
      <c r="F250" s="211">
        <f t="shared" si="49"/>
        <v>249</v>
      </c>
      <c r="G250" s="206" t="s">
        <v>121</v>
      </c>
      <c r="H250" s="206"/>
      <c r="I250" s="233">
        <f>I247</f>
        <v>0</v>
      </c>
      <c r="J250" s="211" t="str">
        <f t="shared" si="54"/>
        <v>2000 mm</v>
      </c>
      <c r="K250" s="225">
        <f t="shared" si="54"/>
        <v>1</v>
      </c>
      <c r="L250" s="208" t="s">
        <v>81</v>
      </c>
      <c r="M250" s="227">
        <f t="shared" si="55"/>
        <v>2</v>
      </c>
      <c r="N250" s="208" t="s">
        <v>139</v>
      </c>
      <c r="O250" s="246" t="e">
        <f>VLOOKUP(I250,BM!$A$2:$X$104,6,FALSE)</f>
        <v>#N/A</v>
      </c>
      <c r="P250" s="208" t="s">
        <v>112</v>
      </c>
      <c r="Q250" s="240" t="e">
        <f t="shared" si="46"/>
        <v>#N/A</v>
      </c>
      <c r="R250" s="239">
        <v>1</v>
      </c>
      <c r="S250" s="240" t="e">
        <f t="shared" si="47"/>
        <v>#N/A</v>
      </c>
      <c r="T250" s="216" t="s">
        <v>48</v>
      </c>
      <c r="U250" s="196" t="e">
        <f t="shared" si="48"/>
        <v>#N/A</v>
      </c>
    </row>
    <row r="251" spans="3:21" s="185" customFormat="1" ht="20.25" customHeight="1">
      <c r="C251" s="198"/>
      <c r="D251" s="203">
        <f t="shared" si="41"/>
        <v>251</v>
      </c>
      <c r="E251" s="207" t="s">
        <v>283</v>
      </c>
      <c r="F251" s="211">
        <f t="shared" si="49"/>
        <v>250</v>
      </c>
      <c r="G251" s="206" t="s">
        <v>121</v>
      </c>
      <c r="H251" s="206"/>
      <c r="I251" s="233">
        <f>I247</f>
        <v>0</v>
      </c>
      <c r="J251" s="211" t="str">
        <f t="shared" si="54"/>
        <v>1000 mm</v>
      </c>
      <c r="K251" s="225">
        <f t="shared" si="54"/>
        <v>1</v>
      </c>
      <c r="L251" s="208" t="s">
        <v>81</v>
      </c>
      <c r="M251" s="227">
        <f t="shared" si="55"/>
        <v>1</v>
      </c>
      <c r="N251" s="208" t="s">
        <v>139</v>
      </c>
      <c r="O251" s="246" t="e">
        <f>VLOOKUP(I251,BM!$A$2:$X$104,6,FALSE)</f>
        <v>#N/A</v>
      </c>
      <c r="P251" s="208" t="s">
        <v>112</v>
      </c>
      <c r="Q251" s="240" t="e">
        <f t="shared" si="46"/>
        <v>#N/A</v>
      </c>
      <c r="R251" s="239">
        <v>1</v>
      </c>
      <c r="S251" s="240" t="e">
        <f t="shared" si="47"/>
        <v>#N/A</v>
      </c>
      <c r="T251" s="216" t="s">
        <v>48</v>
      </c>
      <c r="U251" s="196" t="e">
        <f t="shared" si="48"/>
        <v>#N/A</v>
      </c>
    </row>
    <row r="252" spans="3:21" s="185" customFormat="1" ht="20.25" customHeight="1">
      <c r="C252" s="198"/>
      <c r="D252" s="203">
        <f t="shared" si="41"/>
        <v>252</v>
      </c>
      <c r="E252" s="207" t="s">
        <v>283</v>
      </c>
      <c r="F252" s="211">
        <f t="shared" si="49"/>
        <v>251</v>
      </c>
      <c r="G252" s="206" t="s">
        <v>121</v>
      </c>
      <c r="H252" s="206"/>
      <c r="I252" s="233">
        <f>I247</f>
        <v>0</v>
      </c>
      <c r="J252" s="211" t="str">
        <f t="shared" si="54"/>
        <v>0 mm</v>
      </c>
      <c r="K252" s="225">
        <f t="shared" si="54"/>
        <v>1</v>
      </c>
      <c r="L252" s="208" t="s">
        <v>81</v>
      </c>
      <c r="M252" s="227">
        <f t="shared" si="55"/>
        <v>0</v>
      </c>
      <c r="N252" s="208" t="s">
        <v>139</v>
      </c>
      <c r="O252" s="246" t="e">
        <f>VLOOKUP(I252,BM!$A$2:$X$104,6,FALSE)</f>
        <v>#N/A</v>
      </c>
      <c r="P252" s="208" t="s">
        <v>112</v>
      </c>
      <c r="Q252" s="240" t="e">
        <f t="shared" si="46"/>
        <v>#N/A</v>
      </c>
      <c r="R252" s="239">
        <v>1</v>
      </c>
      <c r="S252" s="240" t="e">
        <f t="shared" si="47"/>
        <v>#N/A</v>
      </c>
      <c r="T252" s="216" t="s">
        <v>48</v>
      </c>
      <c r="U252" s="196" t="e">
        <f t="shared" si="48"/>
        <v>#N/A</v>
      </c>
    </row>
    <row r="253" spans="3:21" s="185" customFormat="1" ht="20.25" customHeight="1">
      <c r="C253" s="198">
        <f>D253</f>
        <v>253</v>
      </c>
      <c r="D253" s="203">
        <f t="shared" si="41"/>
        <v>253</v>
      </c>
      <c r="E253" s="209" t="s">
        <v>284</v>
      </c>
      <c r="F253" s="210">
        <f>D248</f>
        <v>248</v>
      </c>
      <c r="G253" s="206"/>
      <c r="H253" s="206"/>
      <c r="I253" s="208"/>
      <c r="J253" s="208"/>
      <c r="K253" s="234"/>
      <c r="L253" s="208"/>
      <c r="M253" s="217"/>
      <c r="N253" s="208"/>
      <c r="O253" s="218"/>
      <c r="P253" s="208"/>
      <c r="Q253" s="240"/>
      <c r="R253" s="239"/>
      <c r="S253" s="240"/>
      <c r="T253" s="216"/>
      <c r="U253" s="196"/>
    </row>
    <row r="254" spans="3:21" s="185" customFormat="1" ht="20.25" customHeight="1">
      <c r="C254" s="198"/>
      <c r="D254" s="203">
        <f t="shared" si="41"/>
        <v>254</v>
      </c>
      <c r="E254" s="207" t="s">
        <v>285</v>
      </c>
      <c r="F254" s="211"/>
      <c r="G254" s="206" t="s">
        <v>286</v>
      </c>
      <c r="H254" s="206"/>
      <c r="I254" s="233">
        <f>I252</f>
        <v>0</v>
      </c>
      <c r="J254" s="211" t="str">
        <f t="shared" ref="J254:K257" si="56">J249</f>
        <v>2500 mm</v>
      </c>
      <c r="K254" s="225">
        <f t="shared" si="56"/>
        <v>1</v>
      </c>
      <c r="L254" s="208" t="s">
        <v>81</v>
      </c>
      <c r="M254" s="227">
        <v>1</v>
      </c>
      <c r="N254" s="208" t="s">
        <v>39</v>
      </c>
      <c r="O254" s="246" t="e">
        <f>VLOOKUP(I254,BM!$A$2:$X$104,8,FALSE)</f>
        <v>#N/A</v>
      </c>
      <c r="P254" s="208" t="s">
        <v>112</v>
      </c>
      <c r="Q254" s="240" t="e">
        <f t="shared" si="46"/>
        <v>#N/A</v>
      </c>
      <c r="R254" s="239">
        <v>1</v>
      </c>
      <c r="S254" s="240" t="e">
        <f t="shared" si="47"/>
        <v>#N/A</v>
      </c>
      <c r="T254" s="216" t="s">
        <v>48</v>
      </c>
      <c r="U254" s="196" t="e">
        <f t="shared" si="48"/>
        <v>#N/A</v>
      </c>
    </row>
    <row r="255" spans="3:21" s="185" customFormat="1" ht="20.25" customHeight="1">
      <c r="C255" s="198"/>
      <c r="D255" s="203">
        <f t="shared" si="41"/>
        <v>255</v>
      </c>
      <c r="E255" s="207" t="s">
        <v>285</v>
      </c>
      <c r="F255" s="211">
        <f t="shared" si="49"/>
        <v>254</v>
      </c>
      <c r="G255" s="206" t="s">
        <v>286</v>
      </c>
      <c r="H255" s="206"/>
      <c r="I255" s="233">
        <f>I252</f>
        <v>0</v>
      </c>
      <c r="J255" s="211" t="str">
        <f t="shared" si="56"/>
        <v>2000 mm</v>
      </c>
      <c r="K255" s="225">
        <f t="shared" si="56"/>
        <v>1</v>
      </c>
      <c r="L255" s="208" t="s">
        <v>81</v>
      </c>
      <c r="M255" s="227">
        <v>1</v>
      </c>
      <c r="N255" s="208" t="str">
        <f>N254</f>
        <v>No</v>
      </c>
      <c r="O255" s="246" t="e">
        <f>VLOOKUP(I255,BM!$A$2:$X$104,8,FALSE)</f>
        <v>#N/A</v>
      </c>
      <c r="P255" s="208" t="s">
        <v>112</v>
      </c>
      <c r="Q255" s="240" t="e">
        <f t="shared" si="46"/>
        <v>#N/A</v>
      </c>
      <c r="R255" s="239">
        <v>1</v>
      </c>
      <c r="S255" s="240" t="e">
        <f t="shared" si="47"/>
        <v>#N/A</v>
      </c>
      <c r="T255" s="216" t="s">
        <v>48</v>
      </c>
      <c r="U255" s="196" t="e">
        <f t="shared" si="48"/>
        <v>#N/A</v>
      </c>
    </row>
    <row r="256" spans="3:21" s="185" customFormat="1" ht="20.25" customHeight="1">
      <c r="C256" s="198"/>
      <c r="D256" s="203">
        <f t="shared" si="41"/>
        <v>256</v>
      </c>
      <c r="E256" s="207" t="s">
        <v>285</v>
      </c>
      <c r="F256" s="211">
        <f t="shared" si="49"/>
        <v>255</v>
      </c>
      <c r="G256" s="206" t="s">
        <v>286</v>
      </c>
      <c r="H256" s="206"/>
      <c r="I256" s="233">
        <f>I252</f>
        <v>0</v>
      </c>
      <c r="J256" s="211" t="str">
        <f t="shared" si="56"/>
        <v>1000 mm</v>
      </c>
      <c r="K256" s="225">
        <f t="shared" si="56"/>
        <v>1</v>
      </c>
      <c r="L256" s="208" t="s">
        <v>81</v>
      </c>
      <c r="M256" s="227">
        <v>1</v>
      </c>
      <c r="N256" s="208" t="str">
        <f>N255</f>
        <v>No</v>
      </c>
      <c r="O256" s="246" t="e">
        <f>VLOOKUP(I256,BM!$A$2:$X$104,8,FALSE)</f>
        <v>#N/A</v>
      </c>
      <c r="P256" s="208" t="s">
        <v>112</v>
      </c>
      <c r="Q256" s="240" t="e">
        <f t="shared" si="46"/>
        <v>#N/A</v>
      </c>
      <c r="R256" s="239">
        <v>1</v>
      </c>
      <c r="S256" s="240" t="e">
        <f t="shared" si="47"/>
        <v>#N/A</v>
      </c>
      <c r="T256" s="216" t="s">
        <v>48</v>
      </c>
      <c r="U256" s="196" t="e">
        <f t="shared" si="48"/>
        <v>#N/A</v>
      </c>
    </row>
    <row r="257" spans="3:21" s="185" customFormat="1" ht="20.25" customHeight="1">
      <c r="C257" s="198"/>
      <c r="D257" s="203">
        <f t="shared" si="41"/>
        <v>257</v>
      </c>
      <c r="E257" s="207" t="s">
        <v>285</v>
      </c>
      <c r="F257" s="211">
        <f t="shared" si="49"/>
        <v>256</v>
      </c>
      <c r="G257" s="206" t="s">
        <v>286</v>
      </c>
      <c r="H257" s="206"/>
      <c r="I257" s="233">
        <f>I252</f>
        <v>0</v>
      </c>
      <c r="J257" s="211" t="str">
        <f t="shared" si="56"/>
        <v>0 mm</v>
      </c>
      <c r="K257" s="225">
        <v>0</v>
      </c>
      <c r="L257" s="208" t="s">
        <v>81</v>
      </c>
      <c r="M257" s="227">
        <v>0</v>
      </c>
      <c r="N257" s="208" t="str">
        <f>N256</f>
        <v>No</v>
      </c>
      <c r="O257" s="246" t="e">
        <f>VLOOKUP(I257,BM!$A$2:$X$104,8,FALSE)</f>
        <v>#N/A</v>
      </c>
      <c r="P257" s="208" t="s">
        <v>112</v>
      </c>
      <c r="Q257" s="240" t="e">
        <f t="shared" si="46"/>
        <v>#N/A</v>
      </c>
      <c r="R257" s="239"/>
      <c r="S257" s="240"/>
      <c r="T257" s="216" t="s">
        <v>48</v>
      </c>
      <c r="U257" s="196"/>
    </row>
    <row r="258" spans="3:21" s="185" customFormat="1" ht="20.25" customHeight="1">
      <c r="C258" s="198">
        <f>D258</f>
        <v>258</v>
      </c>
      <c r="D258" s="203">
        <f t="shared" si="41"/>
        <v>258</v>
      </c>
      <c r="E258" s="209" t="s">
        <v>287</v>
      </c>
      <c r="F258" s="210">
        <f>D253</f>
        <v>253</v>
      </c>
      <c r="G258" s="206"/>
      <c r="H258" s="206"/>
      <c r="I258" s="208"/>
      <c r="J258" s="208"/>
      <c r="K258" s="234"/>
      <c r="L258" s="208"/>
      <c r="M258" s="217"/>
      <c r="N258" s="208"/>
      <c r="O258" s="218"/>
      <c r="P258" s="208"/>
      <c r="Q258" s="240"/>
      <c r="R258" s="239"/>
      <c r="S258" s="240"/>
      <c r="T258" s="216"/>
      <c r="U258" s="196"/>
    </row>
    <row r="259" spans="3:21" s="185" customFormat="1" ht="20.25" customHeight="1">
      <c r="C259" s="198"/>
      <c r="D259" s="203">
        <f t="shared" ref="D259:D322" si="57">D258+1</f>
        <v>259</v>
      </c>
      <c r="E259" s="207" t="s">
        <v>288</v>
      </c>
      <c r="F259" s="211"/>
      <c r="G259" s="206" t="s">
        <v>289</v>
      </c>
      <c r="H259" s="206"/>
      <c r="I259" s="233">
        <f>I257</f>
        <v>0</v>
      </c>
      <c r="J259" s="211" t="str">
        <f>J254</f>
        <v>2500 mm</v>
      </c>
      <c r="K259" s="234">
        <v>1</v>
      </c>
      <c r="L259" s="208" t="s">
        <v>81</v>
      </c>
      <c r="M259" s="235">
        <v>1</v>
      </c>
      <c r="N259" s="208" t="s">
        <v>81</v>
      </c>
      <c r="O259" s="246" t="e">
        <f>VLOOKUP(I259,BM!$A$2:$X$104,8,FALSE)</f>
        <v>#N/A</v>
      </c>
      <c r="P259" s="208" t="s">
        <v>112</v>
      </c>
      <c r="Q259" s="240" t="e">
        <f t="shared" si="46"/>
        <v>#N/A</v>
      </c>
      <c r="R259" s="239">
        <v>1</v>
      </c>
      <c r="S259" s="240" t="e">
        <f t="shared" si="47"/>
        <v>#N/A</v>
      </c>
      <c r="T259" s="216" t="s">
        <v>48</v>
      </c>
      <c r="U259" s="196" t="e">
        <f t="shared" si="48"/>
        <v>#N/A</v>
      </c>
    </row>
    <row r="260" spans="3:21" s="185" customFormat="1" ht="20.25" customHeight="1">
      <c r="C260" s="198"/>
      <c r="D260" s="203">
        <f t="shared" si="57"/>
        <v>260</v>
      </c>
      <c r="E260" s="207" t="s">
        <v>288</v>
      </c>
      <c r="F260" s="211">
        <f t="shared" si="49"/>
        <v>259</v>
      </c>
      <c r="G260" s="206" t="s">
        <v>289</v>
      </c>
      <c r="H260" s="206"/>
      <c r="I260" s="233">
        <f>I257</f>
        <v>0</v>
      </c>
      <c r="J260" s="211" t="str">
        <f>J255</f>
        <v>2000 mm</v>
      </c>
      <c r="K260" s="234">
        <v>1</v>
      </c>
      <c r="L260" s="208" t="s">
        <v>81</v>
      </c>
      <c r="M260" s="235">
        <v>1</v>
      </c>
      <c r="N260" s="208" t="s">
        <v>81</v>
      </c>
      <c r="O260" s="246" t="e">
        <f>VLOOKUP(I260,BM!$A$2:$X$104,8,FALSE)</f>
        <v>#N/A</v>
      </c>
      <c r="P260" s="208" t="s">
        <v>112</v>
      </c>
      <c r="Q260" s="240" t="e">
        <f t="shared" si="46"/>
        <v>#N/A</v>
      </c>
      <c r="R260" s="239">
        <v>1</v>
      </c>
      <c r="S260" s="240" t="e">
        <f t="shared" si="47"/>
        <v>#N/A</v>
      </c>
      <c r="T260" s="216" t="s">
        <v>48</v>
      </c>
      <c r="U260" s="196" t="e">
        <f t="shared" si="48"/>
        <v>#N/A</v>
      </c>
    </row>
    <row r="261" spans="3:21" s="185" customFormat="1" ht="20.25" customHeight="1">
      <c r="C261" s="198"/>
      <c r="D261" s="203">
        <f t="shared" si="57"/>
        <v>261</v>
      </c>
      <c r="E261" s="207" t="s">
        <v>288</v>
      </c>
      <c r="F261" s="211">
        <f t="shared" si="49"/>
        <v>260</v>
      </c>
      <c r="G261" s="206" t="s">
        <v>289</v>
      </c>
      <c r="H261" s="206"/>
      <c r="I261" s="233">
        <f>I257</f>
        <v>0</v>
      </c>
      <c r="J261" s="211" t="str">
        <f>J256</f>
        <v>1000 mm</v>
      </c>
      <c r="K261" s="234">
        <v>1</v>
      </c>
      <c r="L261" s="208" t="s">
        <v>81</v>
      </c>
      <c r="M261" s="235">
        <v>1</v>
      </c>
      <c r="N261" s="208" t="s">
        <v>81</v>
      </c>
      <c r="O261" s="246" t="e">
        <f>VLOOKUP(I261,BM!$A$2:$X$104,8,FALSE)</f>
        <v>#N/A</v>
      </c>
      <c r="P261" s="208" t="s">
        <v>112</v>
      </c>
      <c r="Q261" s="240" t="e">
        <f t="shared" si="46"/>
        <v>#N/A</v>
      </c>
      <c r="R261" s="239">
        <v>1</v>
      </c>
      <c r="S261" s="240" t="e">
        <f t="shared" si="47"/>
        <v>#N/A</v>
      </c>
      <c r="T261" s="216" t="s">
        <v>48</v>
      </c>
      <c r="U261" s="196" t="e">
        <f t="shared" si="48"/>
        <v>#N/A</v>
      </c>
    </row>
    <row r="262" spans="3:21" s="185" customFormat="1" ht="20.25" customHeight="1">
      <c r="C262" s="198"/>
      <c r="D262" s="203">
        <f t="shared" si="57"/>
        <v>262</v>
      </c>
      <c r="E262" s="207" t="s">
        <v>288</v>
      </c>
      <c r="F262" s="211">
        <f t="shared" si="49"/>
        <v>261</v>
      </c>
      <c r="G262" s="206" t="s">
        <v>289</v>
      </c>
      <c r="H262" s="206"/>
      <c r="I262" s="233">
        <f>I257</f>
        <v>0</v>
      </c>
      <c r="J262" s="211" t="str">
        <f>J257</f>
        <v>0 mm</v>
      </c>
      <c r="K262" s="234">
        <v>1</v>
      </c>
      <c r="L262" s="208" t="s">
        <v>81</v>
      </c>
      <c r="M262" s="235">
        <v>0</v>
      </c>
      <c r="N262" s="208" t="s">
        <v>81</v>
      </c>
      <c r="O262" s="246" t="e">
        <f>VLOOKUP(I262,BM!$A$2:$X$104,8,FALSE)</f>
        <v>#N/A</v>
      </c>
      <c r="P262" s="208" t="s">
        <v>112</v>
      </c>
      <c r="Q262" s="240" t="e">
        <f t="shared" si="46"/>
        <v>#N/A</v>
      </c>
      <c r="R262" s="239">
        <v>1</v>
      </c>
      <c r="S262" s="240" t="e">
        <f t="shared" si="47"/>
        <v>#N/A</v>
      </c>
      <c r="T262" s="216" t="s">
        <v>48</v>
      </c>
      <c r="U262" s="196" t="e">
        <f t="shared" si="48"/>
        <v>#N/A</v>
      </c>
    </row>
    <row r="263" spans="3:21" s="185" customFormat="1" ht="20.25" customHeight="1">
      <c r="C263" s="198">
        <f>D263</f>
        <v>263</v>
      </c>
      <c r="D263" s="203">
        <f t="shared" si="57"/>
        <v>263</v>
      </c>
      <c r="E263" s="209" t="s">
        <v>290</v>
      </c>
      <c r="F263" s="210">
        <f>D258</f>
        <v>258</v>
      </c>
      <c r="G263" s="206"/>
      <c r="H263" s="206"/>
      <c r="I263" s="208"/>
      <c r="J263" s="208"/>
      <c r="K263" s="234"/>
      <c r="L263" s="208"/>
      <c r="M263" s="217"/>
      <c r="N263" s="208"/>
      <c r="O263" s="218"/>
      <c r="P263" s="208"/>
      <c r="Q263" s="240"/>
      <c r="R263" s="239"/>
      <c r="S263" s="240"/>
      <c r="T263" s="216"/>
      <c r="U263" s="196"/>
    </row>
    <row r="264" spans="3:21" s="185" customFormat="1" ht="20.25" customHeight="1">
      <c r="C264" s="198"/>
      <c r="D264" s="203">
        <f t="shared" si="57"/>
        <v>264</v>
      </c>
      <c r="E264" s="207" t="s">
        <v>291</v>
      </c>
      <c r="F264" s="211"/>
      <c r="G264" s="206" t="s">
        <v>44</v>
      </c>
      <c r="H264" s="206"/>
      <c r="I264" s="233">
        <f>I262</f>
        <v>0</v>
      </c>
      <c r="J264" s="211" t="str">
        <f>J259</f>
        <v>2500 mm</v>
      </c>
      <c r="K264" s="234">
        <v>1</v>
      </c>
      <c r="L264" s="208" t="s">
        <v>81</v>
      </c>
      <c r="M264" s="227">
        <f t="shared" ref="M264:M267" si="58">LEFT(J264,SEARCH(" ",J264,1)-1)*K264*0.001</f>
        <v>2.5</v>
      </c>
      <c r="N264" s="208" t="s">
        <v>139</v>
      </c>
      <c r="O264" s="246" t="e">
        <f>VLOOKUP(I264,BM!$A$2:$X$104,9,FALSE)</f>
        <v>#N/A</v>
      </c>
      <c r="P264" s="208" t="s">
        <v>112</v>
      </c>
      <c r="Q264" s="240" t="e">
        <f t="shared" si="46"/>
        <v>#N/A</v>
      </c>
      <c r="R264" s="239">
        <v>1</v>
      </c>
      <c r="S264" s="240" t="e">
        <f t="shared" si="47"/>
        <v>#N/A</v>
      </c>
      <c r="T264" s="216" t="s">
        <v>48</v>
      </c>
      <c r="U264" s="196" t="e">
        <f t="shared" si="48"/>
        <v>#N/A</v>
      </c>
    </row>
    <row r="265" spans="3:21" s="185" customFormat="1" ht="20.25" customHeight="1">
      <c r="C265" s="198"/>
      <c r="D265" s="203">
        <f t="shared" si="57"/>
        <v>265</v>
      </c>
      <c r="E265" s="207" t="s">
        <v>291</v>
      </c>
      <c r="F265" s="211">
        <f t="shared" si="49"/>
        <v>264</v>
      </c>
      <c r="G265" s="206" t="s">
        <v>44</v>
      </c>
      <c r="H265" s="206"/>
      <c r="I265" s="233">
        <f>I262</f>
        <v>0</v>
      </c>
      <c r="J265" s="211" t="str">
        <f>J260</f>
        <v>2000 mm</v>
      </c>
      <c r="K265" s="234">
        <v>1</v>
      </c>
      <c r="L265" s="208" t="s">
        <v>81</v>
      </c>
      <c r="M265" s="227">
        <f t="shared" si="58"/>
        <v>2</v>
      </c>
      <c r="N265" s="208" t="s">
        <v>139</v>
      </c>
      <c r="O265" s="246" t="e">
        <f>VLOOKUP(I265,BM!$A$2:$X$104,9,FALSE)</f>
        <v>#N/A</v>
      </c>
      <c r="P265" s="208" t="s">
        <v>112</v>
      </c>
      <c r="Q265" s="240" t="e">
        <f t="shared" si="46"/>
        <v>#N/A</v>
      </c>
      <c r="R265" s="239">
        <v>1</v>
      </c>
      <c r="S265" s="240" t="e">
        <f t="shared" si="47"/>
        <v>#N/A</v>
      </c>
      <c r="T265" s="216" t="s">
        <v>48</v>
      </c>
      <c r="U265" s="196" t="e">
        <f t="shared" si="48"/>
        <v>#N/A</v>
      </c>
    </row>
    <row r="266" spans="3:21" s="185" customFormat="1" ht="20.25" customHeight="1">
      <c r="C266" s="198"/>
      <c r="D266" s="203">
        <f t="shared" si="57"/>
        <v>266</v>
      </c>
      <c r="E266" s="207" t="s">
        <v>291</v>
      </c>
      <c r="F266" s="211">
        <f t="shared" si="49"/>
        <v>265</v>
      </c>
      <c r="G266" s="206" t="s">
        <v>44</v>
      </c>
      <c r="H266" s="206"/>
      <c r="I266" s="233">
        <f>I262</f>
        <v>0</v>
      </c>
      <c r="J266" s="211" t="str">
        <f>J261</f>
        <v>1000 mm</v>
      </c>
      <c r="K266" s="234">
        <v>1</v>
      </c>
      <c r="L266" s="208" t="s">
        <v>81</v>
      </c>
      <c r="M266" s="227">
        <f t="shared" si="58"/>
        <v>1</v>
      </c>
      <c r="N266" s="208" t="s">
        <v>139</v>
      </c>
      <c r="O266" s="246" t="e">
        <f>VLOOKUP(I266,BM!$A$2:$X$104,9,FALSE)</f>
        <v>#N/A</v>
      </c>
      <c r="P266" s="208" t="s">
        <v>112</v>
      </c>
      <c r="Q266" s="240" t="e">
        <f t="shared" si="46"/>
        <v>#N/A</v>
      </c>
      <c r="R266" s="239">
        <v>1</v>
      </c>
      <c r="S266" s="240" t="e">
        <f t="shared" si="47"/>
        <v>#N/A</v>
      </c>
      <c r="T266" s="216" t="s">
        <v>48</v>
      </c>
      <c r="U266" s="196" t="e">
        <f t="shared" si="48"/>
        <v>#N/A</v>
      </c>
    </row>
    <row r="267" spans="3:21" s="185" customFormat="1" ht="20.25" customHeight="1">
      <c r="C267" s="198"/>
      <c r="D267" s="203">
        <f t="shared" si="57"/>
        <v>267</v>
      </c>
      <c r="E267" s="207" t="s">
        <v>291</v>
      </c>
      <c r="F267" s="211">
        <f t="shared" si="49"/>
        <v>266</v>
      </c>
      <c r="G267" s="206" t="s">
        <v>44</v>
      </c>
      <c r="H267" s="206"/>
      <c r="I267" s="233">
        <f>I262</f>
        <v>0</v>
      </c>
      <c r="J267" s="211" t="str">
        <f>J262</f>
        <v>0 mm</v>
      </c>
      <c r="K267" s="234">
        <v>1</v>
      </c>
      <c r="L267" s="208" t="s">
        <v>81</v>
      </c>
      <c r="M267" s="227">
        <f t="shared" si="58"/>
        <v>0</v>
      </c>
      <c r="N267" s="208" t="s">
        <v>139</v>
      </c>
      <c r="O267" s="246" t="e">
        <f>VLOOKUP(I267,BM!$A$2:$X$104,9,FALSE)</f>
        <v>#N/A</v>
      </c>
      <c r="P267" s="208" t="s">
        <v>112</v>
      </c>
      <c r="Q267" s="240" t="e">
        <f t="shared" si="46"/>
        <v>#N/A</v>
      </c>
      <c r="R267" s="239">
        <v>1</v>
      </c>
      <c r="S267" s="240" t="e">
        <f t="shared" si="47"/>
        <v>#N/A</v>
      </c>
      <c r="T267" s="216" t="s">
        <v>48</v>
      </c>
      <c r="U267" s="196" t="e">
        <f t="shared" si="48"/>
        <v>#N/A</v>
      </c>
    </row>
    <row r="268" spans="3:21" s="185" customFormat="1" ht="20.25" customHeight="1">
      <c r="C268" s="198">
        <f>D268</f>
        <v>268</v>
      </c>
      <c r="D268" s="203">
        <f t="shared" si="57"/>
        <v>268</v>
      </c>
      <c r="E268" s="209" t="s">
        <v>292</v>
      </c>
      <c r="F268" s="210">
        <f>D263</f>
        <v>263</v>
      </c>
      <c r="G268" s="206"/>
      <c r="H268" s="206"/>
      <c r="I268" s="208"/>
      <c r="J268" s="208"/>
      <c r="K268" s="234"/>
      <c r="L268" s="208"/>
      <c r="M268" s="217"/>
      <c r="N268" s="208"/>
      <c r="O268" s="218"/>
      <c r="P268" s="208"/>
      <c r="Q268" s="240"/>
      <c r="R268" s="239"/>
      <c r="S268" s="240"/>
      <c r="T268" s="216"/>
      <c r="U268" s="196"/>
    </row>
    <row r="269" spans="3:21" s="185" customFormat="1" ht="20.25" customHeight="1">
      <c r="C269" s="198"/>
      <c r="D269" s="203">
        <f t="shared" si="57"/>
        <v>269</v>
      </c>
      <c r="E269" s="207" t="s">
        <v>293</v>
      </c>
      <c r="F269" s="211"/>
      <c r="G269" s="206" t="s">
        <v>286</v>
      </c>
      <c r="H269" s="206"/>
      <c r="I269" s="233">
        <f>I267</f>
        <v>0</v>
      </c>
      <c r="J269" s="211" t="str">
        <f>J264</f>
        <v>2500 mm</v>
      </c>
      <c r="K269" s="234">
        <v>1</v>
      </c>
      <c r="L269" s="208" t="s">
        <v>81</v>
      </c>
      <c r="M269" s="235">
        <f>K269</f>
        <v>1</v>
      </c>
      <c r="N269" s="208" t="s">
        <v>39</v>
      </c>
      <c r="O269" s="218">
        <v>3</v>
      </c>
      <c r="P269" s="208" t="s">
        <v>112</v>
      </c>
      <c r="Q269" s="240">
        <f t="shared" si="46"/>
        <v>3</v>
      </c>
      <c r="R269" s="239">
        <v>1</v>
      </c>
      <c r="S269" s="240">
        <f t="shared" si="47"/>
        <v>4</v>
      </c>
      <c r="T269" s="216" t="s">
        <v>48</v>
      </c>
      <c r="U269" s="196" t="str">
        <f t="shared" si="48"/>
        <v>4 Hrs</v>
      </c>
    </row>
    <row r="270" spans="3:21" s="185" customFormat="1" ht="20.25" customHeight="1">
      <c r="C270" s="198"/>
      <c r="D270" s="203">
        <f t="shared" si="57"/>
        <v>270</v>
      </c>
      <c r="E270" s="207" t="s">
        <v>294</v>
      </c>
      <c r="F270" s="211">
        <f t="shared" si="49"/>
        <v>269</v>
      </c>
      <c r="G270" s="206" t="s">
        <v>286</v>
      </c>
      <c r="H270" s="206"/>
      <c r="I270" s="233">
        <f>I267</f>
        <v>0</v>
      </c>
      <c r="J270" s="211" t="str">
        <f>J265</f>
        <v>2000 mm</v>
      </c>
      <c r="K270" s="234">
        <v>1</v>
      </c>
      <c r="L270" s="208" t="s">
        <v>81</v>
      </c>
      <c r="M270" s="235">
        <f>K270</f>
        <v>1</v>
      </c>
      <c r="N270" s="208" t="s">
        <v>39</v>
      </c>
      <c r="O270" s="246">
        <f>O269</f>
        <v>3</v>
      </c>
      <c r="P270" s="208" t="s">
        <v>112</v>
      </c>
      <c r="Q270" s="240">
        <f t="shared" si="46"/>
        <v>3</v>
      </c>
      <c r="R270" s="239">
        <v>1</v>
      </c>
      <c r="S270" s="240">
        <f t="shared" si="47"/>
        <v>4</v>
      </c>
      <c r="T270" s="216" t="s">
        <v>48</v>
      </c>
      <c r="U270" s="196" t="str">
        <f t="shared" si="48"/>
        <v>4 Hrs</v>
      </c>
    </row>
    <row r="271" spans="3:21" s="185" customFormat="1" ht="20.25" customHeight="1">
      <c r="C271" s="198"/>
      <c r="D271" s="203">
        <f t="shared" si="57"/>
        <v>271</v>
      </c>
      <c r="E271" s="207" t="s">
        <v>294</v>
      </c>
      <c r="F271" s="211">
        <f t="shared" si="49"/>
        <v>270</v>
      </c>
      <c r="G271" s="206" t="s">
        <v>286</v>
      </c>
      <c r="H271" s="206"/>
      <c r="I271" s="233">
        <f>I267</f>
        <v>0</v>
      </c>
      <c r="J271" s="211" t="str">
        <f>J266</f>
        <v>1000 mm</v>
      </c>
      <c r="K271" s="234">
        <v>1</v>
      </c>
      <c r="L271" s="208" t="s">
        <v>81</v>
      </c>
      <c r="M271" s="235">
        <f>K271</f>
        <v>1</v>
      </c>
      <c r="N271" s="208" t="s">
        <v>39</v>
      </c>
      <c r="O271" s="246">
        <f>O270</f>
        <v>3</v>
      </c>
      <c r="P271" s="208" t="s">
        <v>112</v>
      </c>
      <c r="Q271" s="240">
        <f t="shared" si="46"/>
        <v>3</v>
      </c>
      <c r="R271" s="239">
        <v>1</v>
      </c>
      <c r="S271" s="240">
        <f t="shared" si="47"/>
        <v>4</v>
      </c>
      <c r="T271" s="216" t="s">
        <v>48</v>
      </c>
      <c r="U271" s="196" t="str">
        <f t="shared" si="48"/>
        <v>4 Hrs</v>
      </c>
    </row>
    <row r="272" spans="3:21" s="185" customFormat="1" ht="20.25" customHeight="1">
      <c r="C272" s="198"/>
      <c r="D272" s="203">
        <f t="shared" si="57"/>
        <v>272</v>
      </c>
      <c r="E272" s="207" t="s">
        <v>294</v>
      </c>
      <c r="F272" s="211">
        <f t="shared" si="49"/>
        <v>271</v>
      </c>
      <c r="G272" s="206" t="s">
        <v>286</v>
      </c>
      <c r="H272" s="206"/>
      <c r="I272" s="233">
        <f>I267</f>
        <v>0</v>
      </c>
      <c r="J272" s="211" t="str">
        <f>J267</f>
        <v>0 mm</v>
      </c>
      <c r="K272" s="234">
        <v>1</v>
      </c>
      <c r="L272" s="208" t="s">
        <v>81</v>
      </c>
      <c r="M272" s="235">
        <f>K272</f>
        <v>1</v>
      </c>
      <c r="N272" s="208" t="s">
        <v>39</v>
      </c>
      <c r="O272" s="246">
        <f>O271</f>
        <v>3</v>
      </c>
      <c r="P272" s="208" t="s">
        <v>112</v>
      </c>
      <c r="Q272" s="240">
        <f t="shared" si="46"/>
        <v>3</v>
      </c>
      <c r="R272" s="239">
        <v>1</v>
      </c>
      <c r="S272" s="240">
        <f t="shared" si="47"/>
        <v>4</v>
      </c>
      <c r="T272" s="216" t="s">
        <v>48</v>
      </c>
      <c r="U272" s="196" t="str">
        <f t="shared" si="48"/>
        <v>4 Hrs</v>
      </c>
    </row>
    <row r="273" spans="3:21" s="185" customFormat="1" ht="20.25" customHeight="1">
      <c r="C273" s="198">
        <f>D273</f>
        <v>273</v>
      </c>
      <c r="D273" s="203">
        <f t="shared" si="57"/>
        <v>273</v>
      </c>
      <c r="E273" s="209" t="s">
        <v>295</v>
      </c>
      <c r="F273" s="210">
        <f>D268</f>
        <v>268</v>
      </c>
      <c r="G273" s="206"/>
      <c r="H273" s="206"/>
      <c r="I273" s="208"/>
      <c r="J273" s="208"/>
      <c r="K273" s="234"/>
      <c r="L273" s="208"/>
      <c r="M273" s="217"/>
      <c r="N273" s="208"/>
      <c r="O273" s="218"/>
      <c r="P273" s="208"/>
      <c r="Q273" s="240">
        <f t="shared" si="46"/>
        <v>0</v>
      </c>
      <c r="R273" s="239"/>
      <c r="S273" s="240"/>
      <c r="T273" s="216"/>
      <c r="U273" s="196"/>
    </row>
    <row r="274" spans="3:21" s="185" customFormat="1" ht="20.25" customHeight="1">
      <c r="C274" s="198"/>
      <c r="D274" s="203">
        <f t="shared" si="57"/>
        <v>274</v>
      </c>
      <c r="E274" s="207" t="s">
        <v>296</v>
      </c>
      <c r="F274" s="211"/>
      <c r="G274" s="206" t="s">
        <v>201</v>
      </c>
      <c r="H274" s="206"/>
      <c r="I274" s="233">
        <f>I272</f>
        <v>0</v>
      </c>
      <c r="J274" s="211" t="str">
        <f>J269</f>
        <v>2500 mm</v>
      </c>
      <c r="K274" s="234">
        <v>1</v>
      </c>
      <c r="L274" s="208" t="s">
        <v>81</v>
      </c>
      <c r="M274" s="227">
        <f t="shared" ref="M274:M307" si="59">LEFT(J274,SEARCH(" ",J274,1)-1)*K274*0.001</f>
        <v>2.5</v>
      </c>
      <c r="N274" s="208" t="s">
        <v>139</v>
      </c>
      <c r="O274" s="246" t="e">
        <f>VLOOKUP(I274,BM!$A$2:$X$104,9,FALSE)</f>
        <v>#N/A</v>
      </c>
      <c r="P274" s="208" t="s">
        <v>112</v>
      </c>
      <c r="Q274" s="240" t="e">
        <f t="shared" si="46"/>
        <v>#N/A</v>
      </c>
      <c r="R274" s="239">
        <v>1</v>
      </c>
      <c r="S274" s="240" t="e">
        <f t="shared" si="47"/>
        <v>#N/A</v>
      </c>
      <c r="T274" s="216" t="s">
        <v>48</v>
      </c>
      <c r="U274" s="196" t="e">
        <f t="shared" si="48"/>
        <v>#N/A</v>
      </c>
    </row>
    <row r="275" spans="3:21" s="185" customFormat="1" ht="20.25" customHeight="1">
      <c r="C275" s="198"/>
      <c r="D275" s="203">
        <f t="shared" si="57"/>
        <v>275</v>
      </c>
      <c r="E275" s="207" t="s">
        <v>296</v>
      </c>
      <c r="F275" s="211">
        <f t="shared" si="49"/>
        <v>274</v>
      </c>
      <c r="G275" s="206" t="s">
        <v>201</v>
      </c>
      <c r="H275" s="206"/>
      <c r="I275" s="233">
        <f>I272</f>
        <v>0</v>
      </c>
      <c r="J275" s="211" t="str">
        <f>J270</f>
        <v>2000 mm</v>
      </c>
      <c r="K275" s="234">
        <v>1</v>
      </c>
      <c r="L275" s="208" t="s">
        <v>81</v>
      </c>
      <c r="M275" s="227">
        <f t="shared" si="59"/>
        <v>2</v>
      </c>
      <c r="N275" s="208" t="s">
        <v>139</v>
      </c>
      <c r="O275" s="246" t="e">
        <f>VLOOKUP(I275,BM!$A$2:$X$104,9,FALSE)</f>
        <v>#N/A</v>
      </c>
      <c r="P275" s="208" t="s">
        <v>112</v>
      </c>
      <c r="Q275" s="240" t="e">
        <f t="shared" si="46"/>
        <v>#N/A</v>
      </c>
      <c r="R275" s="239">
        <v>1</v>
      </c>
      <c r="S275" s="240" t="e">
        <f t="shared" si="47"/>
        <v>#N/A</v>
      </c>
      <c r="T275" s="216" t="s">
        <v>48</v>
      </c>
      <c r="U275" s="196" t="e">
        <f t="shared" si="48"/>
        <v>#N/A</v>
      </c>
    </row>
    <row r="276" spans="3:21" s="185" customFormat="1" ht="20.25" customHeight="1">
      <c r="C276" s="198"/>
      <c r="D276" s="203">
        <f t="shared" si="57"/>
        <v>276</v>
      </c>
      <c r="E276" s="207" t="s">
        <v>296</v>
      </c>
      <c r="F276" s="211">
        <f t="shared" si="49"/>
        <v>275</v>
      </c>
      <c r="G276" s="206" t="s">
        <v>201</v>
      </c>
      <c r="H276" s="206"/>
      <c r="I276" s="233">
        <f>I272</f>
        <v>0</v>
      </c>
      <c r="J276" s="211" t="str">
        <f>J271</f>
        <v>1000 mm</v>
      </c>
      <c r="K276" s="234">
        <v>1</v>
      </c>
      <c r="L276" s="208" t="s">
        <v>81</v>
      </c>
      <c r="M276" s="227">
        <f t="shared" si="59"/>
        <v>1</v>
      </c>
      <c r="N276" s="208" t="s">
        <v>139</v>
      </c>
      <c r="O276" s="246" t="e">
        <f>VLOOKUP(I276,BM!$A$2:$X$104,9,FALSE)</f>
        <v>#N/A</v>
      </c>
      <c r="P276" s="208" t="s">
        <v>112</v>
      </c>
      <c r="Q276" s="240" t="e">
        <f t="shared" si="46"/>
        <v>#N/A</v>
      </c>
      <c r="R276" s="239">
        <v>1</v>
      </c>
      <c r="S276" s="240" t="e">
        <f t="shared" si="47"/>
        <v>#N/A</v>
      </c>
      <c r="T276" s="216" t="s">
        <v>48</v>
      </c>
      <c r="U276" s="196" t="e">
        <f t="shared" si="48"/>
        <v>#N/A</v>
      </c>
    </row>
    <row r="277" spans="3:21" s="185" customFormat="1" ht="20.25" customHeight="1">
      <c r="C277" s="198"/>
      <c r="D277" s="203">
        <f t="shared" si="57"/>
        <v>277</v>
      </c>
      <c r="E277" s="207" t="s">
        <v>296</v>
      </c>
      <c r="F277" s="211">
        <f t="shared" si="49"/>
        <v>276</v>
      </c>
      <c r="G277" s="206" t="s">
        <v>201</v>
      </c>
      <c r="H277" s="206"/>
      <c r="I277" s="233">
        <f>I272</f>
        <v>0</v>
      </c>
      <c r="J277" s="211" t="str">
        <f>J272</f>
        <v>0 mm</v>
      </c>
      <c r="K277" s="234">
        <v>1</v>
      </c>
      <c r="L277" s="208" t="s">
        <v>81</v>
      </c>
      <c r="M277" s="227">
        <f t="shared" si="59"/>
        <v>0</v>
      </c>
      <c r="N277" s="208" t="s">
        <v>139</v>
      </c>
      <c r="O277" s="246" t="e">
        <f>VLOOKUP(I277,BM!$A$2:$X$104,9,FALSE)</f>
        <v>#N/A</v>
      </c>
      <c r="P277" s="208" t="s">
        <v>112</v>
      </c>
      <c r="Q277" s="240" t="e">
        <f t="shared" si="46"/>
        <v>#N/A</v>
      </c>
      <c r="R277" s="239">
        <v>1</v>
      </c>
      <c r="S277" s="240" t="e">
        <f t="shared" si="47"/>
        <v>#N/A</v>
      </c>
      <c r="T277" s="216" t="s">
        <v>48</v>
      </c>
      <c r="U277" s="196" t="e">
        <f t="shared" si="48"/>
        <v>#N/A</v>
      </c>
    </row>
    <row r="278" spans="3:21" s="185" customFormat="1" ht="20.25" customHeight="1">
      <c r="C278" s="198">
        <f>D278</f>
        <v>278</v>
      </c>
      <c r="D278" s="203">
        <f t="shared" si="57"/>
        <v>278</v>
      </c>
      <c r="E278" s="209" t="s">
        <v>297</v>
      </c>
      <c r="F278" s="210">
        <f>D273</f>
        <v>273</v>
      </c>
      <c r="G278" s="206"/>
      <c r="H278" s="206"/>
      <c r="I278" s="208"/>
      <c r="J278" s="208"/>
      <c r="K278" s="234"/>
      <c r="L278" s="208"/>
      <c r="M278" s="217"/>
      <c r="N278" s="208"/>
      <c r="O278" s="218"/>
      <c r="P278" s="208"/>
      <c r="Q278" s="240">
        <f t="shared" si="46"/>
        <v>0</v>
      </c>
      <c r="R278" s="239"/>
      <c r="S278" s="240"/>
      <c r="T278" s="216"/>
      <c r="U278" s="196"/>
    </row>
    <row r="279" spans="3:21" s="185" customFormat="1" ht="20.25" customHeight="1">
      <c r="C279" s="198"/>
      <c r="D279" s="203">
        <f t="shared" si="57"/>
        <v>279</v>
      </c>
      <c r="E279" s="207" t="s">
        <v>298</v>
      </c>
      <c r="F279" s="211"/>
      <c r="G279" s="206"/>
      <c r="H279" s="206"/>
      <c r="I279" s="233">
        <f>I277</f>
        <v>0</v>
      </c>
      <c r="J279" s="211" t="str">
        <f>J274</f>
        <v>2500 mm</v>
      </c>
      <c r="K279" s="234">
        <v>1</v>
      </c>
      <c r="L279" s="208" t="s">
        <v>81</v>
      </c>
      <c r="M279" s="227">
        <f t="shared" si="59"/>
        <v>2.5</v>
      </c>
      <c r="N279" s="208" t="s">
        <v>139</v>
      </c>
      <c r="O279" s="246" t="e">
        <f>VLOOKUP(I279,BM!$A$2:$X$104,10,FALSE)</f>
        <v>#N/A</v>
      </c>
      <c r="P279" s="208" t="s">
        <v>112</v>
      </c>
      <c r="Q279" s="240" t="e">
        <f t="shared" si="46"/>
        <v>#N/A</v>
      </c>
      <c r="R279" s="239">
        <v>1</v>
      </c>
      <c r="S279" s="240" t="e">
        <f t="shared" si="47"/>
        <v>#N/A</v>
      </c>
      <c r="T279" s="216" t="s">
        <v>48</v>
      </c>
      <c r="U279" s="196" t="e">
        <f t="shared" si="48"/>
        <v>#N/A</v>
      </c>
    </row>
    <row r="280" spans="3:21" s="185" customFormat="1" ht="20.25" customHeight="1">
      <c r="C280" s="198"/>
      <c r="D280" s="203">
        <f t="shared" si="57"/>
        <v>280</v>
      </c>
      <c r="E280" s="207" t="s">
        <v>298</v>
      </c>
      <c r="F280" s="211">
        <f t="shared" si="49"/>
        <v>279</v>
      </c>
      <c r="G280" s="206" t="s">
        <v>299</v>
      </c>
      <c r="H280" s="206"/>
      <c r="I280" s="233">
        <f>I277</f>
        <v>0</v>
      </c>
      <c r="J280" s="211" t="str">
        <f>J275</f>
        <v>2000 mm</v>
      </c>
      <c r="K280" s="234">
        <v>1</v>
      </c>
      <c r="L280" s="208" t="s">
        <v>81</v>
      </c>
      <c r="M280" s="227">
        <f t="shared" si="59"/>
        <v>2</v>
      </c>
      <c r="N280" s="208" t="s">
        <v>139</v>
      </c>
      <c r="O280" s="246" t="e">
        <f>VLOOKUP(I280,BM!$A$2:$X$104,10,FALSE)</f>
        <v>#N/A</v>
      </c>
      <c r="P280" s="208" t="s">
        <v>112</v>
      </c>
      <c r="Q280" s="240" t="e">
        <f t="shared" si="46"/>
        <v>#N/A</v>
      </c>
      <c r="R280" s="239">
        <v>1</v>
      </c>
      <c r="S280" s="240" t="e">
        <f t="shared" si="47"/>
        <v>#N/A</v>
      </c>
      <c r="T280" s="216" t="s">
        <v>48</v>
      </c>
      <c r="U280" s="196" t="e">
        <f t="shared" si="48"/>
        <v>#N/A</v>
      </c>
    </row>
    <row r="281" spans="3:21" s="185" customFormat="1" ht="20.25" customHeight="1">
      <c r="C281" s="198"/>
      <c r="D281" s="203">
        <f t="shared" si="57"/>
        <v>281</v>
      </c>
      <c r="E281" s="207" t="s">
        <v>298</v>
      </c>
      <c r="F281" s="211">
        <f t="shared" si="49"/>
        <v>280</v>
      </c>
      <c r="G281" s="206" t="s">
        <v>299</v>
      </c>
      <c r="H281" s="206"/>
      <c r="I281" s="233">
        <f>I277</f>
        <v>0</v>
      </c>
      <c r="J281" s="211" t="str">
        <f>J276</f>
        <v>1000 mm</v>
      </c>
      <c r="K281" s="234">
        <v>1</v>
      </c>
      <c r="L281" s="208" t="s">
        <v>81</v>
      </c>
      <c r="M281" s="227">
        <f t="shared" si="59"/>
        <v>1</v>
      </c>
      <c r="N281" s="208" t="s">
        <v>139</v>
      </c>
      <c r="O281" s="246" t="e">
        <f>VLOOKUP(I281,BM!$A$2:$X$104,10,FALSE)</f>
        <v>#N/A</v>
      </c>
      <c r="P281" s="208" t="s">
        <v>112</v>
      </c>
      <c r="Q281" s="240" t="e">
        <f t="shared" si="46"/>
        <v>#N/A</v>
      </c>
      <c r="R281" s="239">
        <v>1</v>
      </c>
      <c r="S281" s="240" t="e">
        <f t="shared" si="47"/>
        <v>#N/A</v>
      </c>
      <c r="T281" s="216" t="s">
        <v>48</v>
      </c>
      <c r="U281" s="196" t="e">
        <f t="shared" si="48"/>
        <v>#N/A</v>
      </c>
    </row>
    <row r="282" spans="3:21" s="185" customFormat="1" ht="20.25" customHeight="1">
      <c r="C282" s="198"/>
      <c r="D282" s="203">
        <f t="shared" si="57"/>
        <v>282</v>
      </c>
      <c r="E282" s="207" t="s">
        <v>298</v>
      </c>
      <c r="F282" s="211">
        <f t="shared" si="49"/>
        <v>281</v>
      </c>
      <c r="G282" s="206" t="s">
        <v>299</v>
      </c>
      <c r="H282" s="206"/>
      <c r="I282" s="233">
        <f>I277</f>
        <v>0</v>
      </c>
      <c r="J282" s="211" t="str">
        <f>J277</f>
        <v>0 mm</v>
      </c>
      <c r="K282" s="234">
        <v>1</v>
      </c>
      <c r="L282" s="208" t="s">
        <v>81</v>
      </c>
      <c r="M282" s="227">
        <f t="shared" si="59"/>
        <v>0</v>
      </c>
      <c r="N282" s="208" t="s">
        <v>139</v>
      </c>
      <c r="O282" s="246" t="e">
        <f>VLOOKUP(I282,BM!$A$2:$X$104,10,FALSE)</f>
        <v>#N/A</v>
      </c>
      <c r="P282" s="208" t="s">
        <v>112</v>
      </c>
      <c r="Q282" s="240" t="e">
        <f t="shared" si="46"/>
        <v>#N/A</v>
      </c>
      <c r="R282" s="239">
        <v>1</v>
      </c>
      <c r="S282" s="240" t="e">
        <f t="shared" si="47"/>
        <v>#N/A</v>
      </c>
      <c r="T282" s="216" t="s">
        <v>48</v>
      </c>
      <c r="U282" s="196" t="e">
        <f t="shared" si="48"/>
        <v>#N/A</v>
      </c>
    </row>
    <row r="283" spans="3:21" s="185" customFormat="1" ht="20.25" customHeight="1">
      <c r="C283" s="198">
        <f>D283</f>
        <v>283</v>
      </c>
      <c r="D283" s="203">
        <f t="shared" si="57"/>
        <v>283</v>
      </c>
      <c r="E283" s="209" t="s">
        <v>300</v>
      </c>
      <c r="F283" s="210">
        <f>D278</f>
        <v>278</v>
      </c>
      <c r="G283" s="206"/>
      <c r="H283" s="206"/>
      <c r="I283" s="208"/>
      <c r="J283" s="208"/>
      <c r="K283" s="234"/>
      <c r="L283" s="208"/>
      <c r="M283" s="217"/>
      <c r="N283" s="208"/>
      <c r="O283" s="218"/>
      <c r="P283" s="208"/>
      <c r="Q283" s="240"/>
      <c r="R283" s="239"/>
      <c r="S283" s="240"/>
      <c r="T283" s="216"/>
      <c r="U283" s="196"/>
    </row>
    <row r="284" spans="3:21" s="185" customFormat="1" ht="20.25" customHeight="1">
      <c r="C284" s="198"/>
      <c r="D284" s="203">
        <f t="shared" si="57"/>
        <v>284</v>
      </c>
      <c r="E284" s="207" t="s">
        <v>301</v>
      </c>
      <c r="F284" s="211"/>
      <c r="G284" s="206" t="s">
        <v>44</v>
      </c>
      <c r="H284" s="206"/>
      <c r="I284" s="233">
        <f>I282</f>
        <v>0</v>
      </c>
      <c r="J284" s="211" t="str">
        <f>J279</f>
        <v>2500 mm</v>
      </c>
      <c r="K284" s="234">
        <v>1</v>
      </c>
      <c r="L284" s="208" t="s">
        <v>81</v>
      </c>
      <c r="M284" s="227">
        <v>1</v>
      </c>
      <c r="N284" s="208" t="s">
        <v>39</v>
      </c>
      <c r="O284" s="246" t="e">
        <f>VLOOKUP(I284,BM!$A$2:$X$104,11,FALSE)</f>
        <v>#N/A</v>
      </c>
      <c r="P284" s="208" t="s">
        <v>112</v>
      </c>
      <c r="Q284" s="240" t="e">
        <f t="shared" ref="Q284:Q347" si="60">M284*O284</f>
        <v>#N/A</v>
      </c>
      <c r="R284" s="239">
        <v>1</v>
      </c>
      <c r="S284" s="240" t="e">
        <f t="shared" si="47"/>
        <v>#N/A</v>
      </c>
      <c r="T284" s="216" t="s">
        <v>48</v>
      </c>
      <c r="U284" s="196" t="e">
        <f t="shared" ref="U284:U347" si="61">CONCATENATE(S284," ",T284)</f>
        <v>#N/A</v>
      </c>
    </row>
    <row r="285" spans="3:21" s="185" customFormat="1" ht="20.25" customHeight="1">
      <c r="C285" s="198"/>
      <c r="D285" s="203">
        <f t="shared" si="57"/>
        <v>285</v>
      </c>
      <c r="E285" s="207" t="s">
        <v>301</v>
      </c>
      <c r="F285" s="211">
        <f t="shared" ref="F285:F348" si="62">D284</f>
        <v>284</v>
      </c>
      <c r="G285" s="206" t="s">
        <v>44</v>
      </c>
      <c r="H285" s="206"/>
      <c r="I285" s="233">
        <f>I282</f>
        <v>0</v>
      </c>
      <c r="J285" s="211" t="str">
        <f>J280</f>
        <v>2000 mm</v>
      </c>
      <c r="K285" s="234">
        <v>1</v>
      </c>
      <c r="L285" s="208" t="s">
        <v>81</v>
      </c>
      <c r="M285" s="227">
        <v>1</v>
      </c>
      <c r="N285" s="208" t="s">
        <v>39</v>
      </c>
      <c r="O285" s="246" t="e">
        <f>VLOOKUP(I285,BM!$A$2:$X$104,11,FALSE)</f>
        <v>#N/A</v>
      </c>
      <c r="P285" s="208" t="s">
        <v>112</v>
      </c>
      <c r="Q285" s="240" t="e">
        <f t="shared" si="60"/>
        <v>#N/A</v>
      </c>
      <c r="R285" s="239">
        <v>1</v>
      </c>
      <c r="S285" s="240" t="e">
        <f t="shared" ref="S285:S348" si="63">ROUND(Q285+R285,2)</f>
        <v>#N/A</v>
      </c>
      <c r="T285" s="216" t="s">
        <v>48</v>
      </c>
      <c r="U285" s="196" t="e">
        <f t="shared" si="61"/>
        <v>#N/A</v>
      </c>
    </row>
    <row r="286" spans="3:21" s="185" customFormat="1" ht="20.25" customHeight="1">
      <c r="C286" s="198"/>
      <c r="D286" s="203">
        <f t="shared" si="57"/>
        <v>286</v>
      </c>
      <c r="E286" s="207" t="s">
        <v>301</v>
      </c>
      <c r="F286" s="211">
        <f t="shared" si="62"/>
        <v>285</v>
      </c>
      <c r="G286" s="206" t="s">
        <v>44</v>
      </c>
      <c r="H286" s="206"/>
      <c r="I286" s="233">
        <f>I282</f>
        <v>0</v>
      </c>
      <c r="J286" s="211" t="str">
        <f>J281</f>
        <v>1000 mm</v>
      </c>
      <c r="K286" s="234">
        <v>1</v>
      </c>
      <c r="L286" s="208" t="s">
        <v>81</v>
      </c>
      <c r="M286" s="227">
        <v>1</v>
      </c>
      <c r="N286" s="208" t="s">
        <v>39</v>
      </c>
      <c r="O286" s="246" t="e">
        <f>VLOOKUP(I286,BM!$A$2:$X$104,11,FALSE)</f>
        <v>#N/A</v>
      </c>
      <c r="P286" s="208" t="s">
        <v>112</v>
      </c>
      <c r="Q286" s="240" t="e">
        <f t="shared" si="60"/>
        <v>#N/A</v>
      </c>
      <c r="R286" s="239">
        <v>1</v>
      </c>
      <c r="S286" s="240" t="e">
        <f t="shared" si="63"/>
        <v>#N/A</v>
      </c>
      <c r="T286" s="216" t="s">
        <v>48</v>
      </c>
      <c r="U286" s="196" t="e">
        <f t="shared" si="61"/>
        <v>#N/A</v>
      </c>
    </row>
    <row r="287" spans="3:21" s="185" customFormat="1" ht="20.25" customHeight="1">
      <c r="C287" s="198"/>
      <c r="D287" s="203">
        <f t="shared" si="57"/>
        <v>287</v>
      </c>
      <c r="E287" s="207" t="s">
        <v>301</v>
      </c>
      <c r="F287" s="211">
        <f t="shared" si="62"/>
        <v>286</v>
      </c>
      <c r="G287" s="206" t="s">
        <v>44</v>
      </c>
      <c r="H287" s="206"/>
      <c r="I287" s="233">
        <f>I282</f>
        <v>0</v>
      </c>
      <c r="J287" s="211" t="str">
        <f>J282</f>
        <v>0 mm</v>
      </c>
      <c r="K287" s="234">
        <v>1</v>
      </c>
      <c r="L287" s="208" t="s">
        <v>81</v>
      </c>
      <c r="M287" s="227">
        <v>1</v>
      </c>
      <c r="N287" s="208" t="s">
        <v>39</v>
      </c>
      <c r="O287" s="246" t="e">
        <f>VLOOKUP(I287,BM!$A$2:$X$104,11,FALSE)</f>
        <v>#N/A</v>
      </c>
      <c r="P287" s="208" t="s">
        <v>112</v>
      </c>
      <c r="Q287" s="240" t="e">
        <f t="shared" si="60"/>
        <v>#N/A</v>
      </c>
      <c r="R287" s="239">
        <v>1</v>
      </c>
      <c r="S287" s="240" t="e">
        <f t="shared" si="63"/>
        <v>#N/A</v>
      </c>
      <c r="T287" s="216" t="s">
        <v>48</v>
      </c>
      <c r="U287" s="196" t="e">
        <f t="shared" si="61"/>
        <v>#N/A</v>
      </c>
    </row>
    <row r="288" spans="3:21" s="185" customFormat="1" ht="20.25" customHeight="1">
      <c r="C288" s="198">
        <f>D288</f>
        <v>288</v>
      </c>
      <c r="D288" s="203">
        <f t="shared" si="57"/>
        <v>288</v>
      </c>
      <c r="E288" s="209" t="s">
        <v>302</v>
      </c>
      <c r="F288" s="210">
        <f>D283</f>
        <v>283</v>
      </c>
      <c r="G288" s="206"/>
      <c r="H288" s="206"/>
      <c r="I288" s="208"/>
      <c r="J288" s="208"/>
      <c r="K288" s="234"/>
      <c r="L288" s="208"/>
      <c r="M288" s="217"/>
      <c r="N288" s="208"/>
      <c r="O288" s="218"/>
      <c r="P288" s="208"/>
      <c r="Q288" s="240"/>
      <c r="R288" s="239"/>
      <c r="S288" s="240"/>
      <c r="T288" s="216"/>
      <c r="U288" s="196"/>
    </row>
    <row r="289" spans="3:21" s="185" customFormat="1" ht="20.25" customHeight="1">
      <c r="C289" s="198"/>
      <c r="D289" s="203">
        <f t="shared" si="57"/>
        <v>289</v>
      </c>
      <c r="E289" s="207" t="s">
        <v>303</v>
      </c>
      <c r="F289" s="211"/>
      <c r="G289" s="206" t="s">
        <v>115</v>
      </c>
      <c r="H289" s="206"/>
      <c r="I289" s="224">
        <v>12</v>
      </c>
      <c r="J289" s="211" t="str">
        <f>J284</f>
        <v>2500 mm</v>
      </c>
      <c r="K289" s="234">
        <v>1</v>
      </c>
      <c r="L289" s="208" t="s">
        <v>81</v>
      </c>
      <c r="M289" s="227">
        <f t="shared" si="59"/>
        <v>2.5</v>
      </c>
      <c r="N289" s="208" t="s">
        <v>139</v>
      </c>
      <c r="O289" s="246">
        <f>VLOOKUP(I289,BM!$A$2:$X$104,12,FALSE)</f>
        <v>2.5</v>
      </c>
      <c r="P289" s="208" t="s">
        <v>112</v>
      </c>
      <c r="Q289" s="240">
        <f t="shared" si="60"/>
        <v>6.25</v>
      </c>
      <c r="R289" s="239">
        <v>1</v>
      </c>
      <c r="S289" s="240">
        <f t="shared" si="63"/>
        <v>7.25</v>
      </c>
      <c r="T289" s="216" t="s">
        <v>48</v>
      </c>
      <c r="U289" s="196" t="str">
        <f t="shared" si="61"/>
        <v>7.25 Hrs</v>
      </c>
    </row>
    <row r="290" spans="3:21" s="185" customFormat="1" ht="20.25" customHeight="1">
      <c r="C290" s="198"/>
      <c r="D290" s="203">
        <f t="shared" si="57"/>
        <v>290</v>
      </c>
      <c r="E290" s="207" t="s">
        <v>303</v>
      </c>
      <c r="F290" s="211">
        <f t="shared" si="62"/>
        <v>289</v>
      </c>
      <c r="G290" s="206" t="s">
        <v>115</v>
      </c>
      <c r="H290" s="206"/>
      <c r="I290" s="233">
        <f>I289</f>
        <v>12</v>
      </c>
      <c r="J290" s="211" t="str">
        <f>J285</f>
        <v>2000 mm</v>
      </c>
      <c r="K290" s="234">
        <v>1</v>
      </c>
      <c r="L290" s="208" t="s">
        <v>81</v>
      </c>
      <c r="M290" s="227">
        <f t="shared" si="59"/>
        <v>2</v>
      </c>
      <c r="N290" s="208" t="s">
        <v>139</v>
      </c>
      <c r="O290" s="246">
        <f>VLOOKUP(I290,BM!$A$2:$X$104,12,FALSE)</f>
        <v>2.5</v>
      </c>
      <c r="P290" s="208" t="s">
        <v>112</v>
      </c>
      <c r="Q290" s="240">
        <f t="shared" si="60"/>
        <v>5</v>
      </c>
      <c r="R290" s="239">
        <v>1</v>
      </c>
      <c r="S290" s="240">
        <f t="shared" si="63"/>
        <v>6</v>
      </c>
      <c r="T290" s="216" t="s">
        <v>48</v>
      </c>
      <c r="U290" s="196" t="str">
        <f t="shared" si="61"/>
        <v>6 Hrs</v>
      </c>
    </row>
    <row r="291" spans="3:21" s="185" customFormat="1" ht="20.25" customHeight="1">
      <c r="C291" s="198"/>
      <c r="D291" s="203">
        <f t="shared" si="57"/>
        <v>291</v>
      </c>
      <c r="E291" s="207" t="s">
        <v>303</v>
      </c>
      <c r="F291" s="211">
        <f t="shared" si="62"/>
        <v>290</v>
      </c>
      <c r="G291" s="206" t="s">
        <v>115</v>
      </c>
      <c r="H291" s="206"/>
      <c r="I291" s="233">
        <f>I290</f>
        <v>12</v>
      </c>
      <c r="J291" s="211" t="str">
        <f>J286</f>
        <v>1000 mm</v>
      </c>
      <c r="K291" s="234">
        <v>1</v>
      </c>
      <c r="L291" s="208" t="s">
        <v>81</v>
      </c>
      <c r="M291" s="227">
        <f t="shared" si="59"/>
        <v>1</v>
      </c>
      <c r="N291" s="208" t="s">
        <v>139</v>
      </c>
      <c r="O291" s="246">
        <f>VLOOKUP(I291,BM!$A$2:$X$104,12,FALSE)</f>
        <v>2.5</v>
      </c>
      <c r="P291" s="208" t="s">
        <v>112</v>
      </c>
      <c r="Q291" s="240">
        <f t="shared" si="60"/>
        <v>2.5</v>
      </c>
      <c r="R291" s="239">
        <v>1</v>
      </c>
      <c r="S291" s="240">
        <f t="shared" si="63"/>
        <v>3.5</v>
      </c>
      <c r="T291" s="216" t="s">
        <v>48</v>
      </c>
      <c r="U291" s="196" t="str">
        <f t="shared" si="61"/>
        <v>3.5 Hrs</v>
      </c>
    </row>
    <row r="292" spans="3:21" s="185" customFormat="1" ht="20.25" customHeight="1">
      <c r="C292" s="198"/>
      <c r="D292" s="203">
        <f t="shared" si="57"/>
        <v>292</v>
      </c>
      <c r="E292" s="207" t="s">
        <v>303</v>
      </c>
      <c r="F292" s="211">
        <f t="shared" si="62"/>
        <v>291</v>
      </c>
      <c r="G292" s="206" t="s">
        <v>115</v>
      </c>
      <c r="H292" s="206"/>
      <c r="I292" s="233">
        <f>I291</f>
        <v>12</v>
      </c>
      <c r="J292" s="211" t="str">
        <f>J287</f>
        <v>0 mm</v>
      </c>
      <c r="K292" s="234">
        <v>1</v>
      </c>
      <c r="L292" s="208" t="s">
        <v>81</v>
      </c>
      <c r="M292" s="227">
        <f t="shared" si="59"/>
        <v>0</v>
      </c>
      <c r="N292" s="208" t="s">
        <v>139</v>
      </c>
      <c r="O292" s="246">
        <f>VLOOKUP(I292,BM!$A$2:$X$104,12,FALSE)</f>
        <v>2.5</v>
      </c>
      <c r="P292" s="208" t="s">
        <v>112</v>
      </c>
      <c r="Q292" s="240">
        <f t="shared" si="60"/>
        <v>0</v>
      </c>
      <c r="R292" s="239">
        <v>1</v>
      </c>
      <c r="S292" s="240">
        <f t="shared" si="63"/>
        <v>1</v>
      </c>
      <c r="T292" s="216" t="s">
        <v>48</v>
      </c>
      <c r="U292" s="196" t="str">
        <f t="shared" si="61"/>
        <v>1 Hrs</v>
      </c>
    </row>
    <row r="293" spans="3:21" s="185" customFormat="1" ht="20.25" customHeight="1">
      <c r="C293" s="198">
        <f>D293</f>
        <v>293</v>
      </c>
      <c r="D293" s="203">
        <f t="shared" si="57"/>
        <v>293</v>
      </c>
      <c r="E293" s="209" t="s">
        <v>304</v>
      </c>
      <c r="F293" s="210">
        <f>D288</f>
        <v>288</v>
      </c>
      <c r="G293" s="206"/>
      <c r="H293" s="206"/>
      <c r="I293" s="208"/>
      <c r="J293" s="208"/>
      <c r="K293" s="234"/>
      <c r="L293" s="208"/>
      <c r="M293" s="217"/>
      <c r="N293" s="208"/>
      <c r="O293" s="218"/>
      <c r="P293" s="208"/>
      <c r="Q293" s="240"/>
      <c r="R293" s="239"/>
      <c r="S293" s="240"/>
      <c r="T293" s="216"/>
      <c r="U293" s="196"/>
    </row>
    <row r="294" spans="3:21" s="185" customFormat="1" ht="20.25" customHeight="1">
      <c r="C294" s="198"/>
      <c r="D294" s="203">
        <f t="shared" si="57"/>
        <v>294</v>
      </c>
      <c r="E294" s="207" t="s">
        <v>305</v>
      </c>
      <c r="F294" s="211"/>
      <c r="G294" s="206" t="s">
        <v>61</v>
      </c>
      <c r="H294" s="206"/>
      <c r="I294" s="224">
        <v>18</v>
      </c>
      <c r="J294" s="211" t="str">
        <f>J289</f>
        <v>2500 mm</v>
      </c>
      <c r="K294" s="234">
        <v>1</v>
      </c>
      <c r="L294" s="208" t="s">
        <v>81</v>
      </c>
      <c r="M294" s="227">
        <f t="shared" si="59"/>
        <v>2.5</v>
      </c>
      <c r="N294" s="208" t="s">
        <v>139</v>
      </c>
      <c r="O294" s="246">
        <f>VLOOKUP(I294,BM!$A$2:$X$104,18,FALSE)</f>
        <v>1</v>
      </c>
      <c r="P294" s="208" t="s">
        <v>112</v>
      </c>
      <c r="Q294" s="240">
        <f t="shared" si="60"/>
        <v>2.5</v>
      </c>
      <c r="R294" s="239">
        <v>1</v>
      </c>
      <c r="S294" s="240">
        <f t="shared" si="63"/>
        <v>3.5</v>
      </c>
      <c r="T294" s="216" t="s">
        <v>48</v>
      </c>
      <c r="U294" s="196" t="str">
        <f t="shared" si="61"/>
        <v>3.5 Hrs</v>
      </c>
    </row>
    <row r="295" spans="3:21" s="185" customFormat="1" ht="20.25" customHeight="1">
      <c r="C295" s="198"/>
      <c r="D295" s="203">
        <f t="shared" si="57"/>
        <v>295</v>
      </c>
      <c r="E295" s="207" t="s">
        <v>305</v>
      </c>
      <c r="F295" s="211">
        <f t="shared" si="62"/>
        <v>294</v>
      </c>
      <c r="G295" s="206" t="s">
        <v>61</v>
      </c>
      <c r="H295" s="206"/>
      <c r="I295" s="224">
        <v>18</v>
      </c>
      <c r="J295" s="211" t="str">
        <f>J290</f>
        <v>2000 mm</v>
      </c>
      <c r="K295" s="234">
        <v>1</v>
      </c>
      <c r="L295" s="208" t="s">
        <v>81</v>
      </c>
      <c r="M295" s="227">
        <f t="shared" si="59"/>
        <v>2</v>
      </c>
      <c r="N295" s="208" t="s">
        <v>139</v>
      </c>
      <c r="O295" s="246">
        <f>VLOOKUP(I295,BM!$A$2:$X$104,18,FALSE)</f>
        <v>1</v>
      </c>
      <c r="P295" s="208" t="s">
        <v>112</v>
      </c>
      <c r="Q295" s="240">
        <f t="shared" si="60"/>
        <v>2</v>
      </c>
      <c r="R295" s="239">
        <v>1</v>
      </c>
      <c r="S295" s="240">
        <f t="shared" si="63"/>
        <v>3</v>
      </c>
      <c r="T295" s="216" t="s">
        <v>48</v>
      </c>
      <c r="U295" s="196" t="str">
        <f t="shared" si="61"/>
        <v>3 Hrs</v>
      </c>
    </row>
    <row r="296" spans="3:21" s="185" customFormat="1" ht="20.25" customHeight="1">
      <c r="C296" s="198"/>
      <c r="D296" s="203">
        <f t="shared" si="57"/>
        <v>296</v>
      </c>
      <c r="E296" s="207" t="s">
        <v>305</v>
      </c>
      <c r="F296" s="211">
        <f t="shared" si="62"/>
        <v>295</v>
      </c>
      <c r="G296" s="206" t="s">
        <v>61</v>
      </c>
      <c r="H296" s="206"/>
      <c r="I296" s="224">
        <v>18</v>
      </c>
      <c r="J296" s="211" t="str">
        <f>J291</f>
        <v>1000 mm</v>
      </c>
      <c r="K296" s="234">
        <v>1</v>
      </c>
      <c r="L296" s="208" t="s">
        <v>81</v>
      </c>
      <c r="M296" s="227">
        <f t="shared" si="59"/>
        <v>1</v>
      </c>
      <c r="N296" s="208" t="s">
        <v>139</v>
      </c>
      <c r="O296" s="246">
        <f>VLOOKUP(I296,BM!$A$2:$X$104,18,FALSE)</f>
        <v>1</v>
      </c>
      <c r="P296" s="208" t="s">
        <v>112</v>
      </c>
      <c r="Q296" s="240">
        <f t="shared" si="60"/>
        <v>1</v>
      </c>
      <c r="R296" s="239">
        <v>1</v>
      </c>
      <c r="S296" s="240">
        <f t="shared" si="63"/>
        <v>2</v>
      </c>
      <c r="T296" s="216" t="s">
        <v>48</v>
      </c>
      <c r="U296" s="196" t="str">
        <f t="shared" si="61"/>
        <v>2 Hrs</v>
      </c>
    </row>
    <row r="297" spans="3:21" s="185" customFormat="1" ht="20.25" customHeight="1">
      <c r="C297" s="198"/>
      <c r="D297" s="203">
        <f t="shared" si="57"/>
        <v>297</v>
      </c>
      <c r="E297" s="207" t="s">
        <v>305</v>
      </c>
      <c r="F297" s="211">
        <f t="shared" si="62"/>
        <v>296</v>
      </c>
      <c r="G297" s="206" t="s">
        <v>61</v>
      </c>
      <c r="H297" s="206"/>
      <c r="I297" s="224">
        <v>18</v>
      </c>
      <c r="J297" s="211" t="str">
        <f>J292</f>
        <v>0 mm</v>
      </c>
      <c r="K297" s="234">
        <v>1</v>
      </c>
      <c r="L297" s="208" t="s">
        <v>81</v>
      </c>
      <c r="M297" s="227">
        <f t="shared" si="59"/>
        <v>0</v>
      </c>
      <c r="N297" s="208" t="s">
        <v>139</v>
      </c>
      <c r="O297" s="246">
        <f>VLOOKUP(I297,BM!$A$2:$X$104,18,FALSE)</f>
        <v>1</v>
      </c>
      <c r="P297" s="208" t="s">
        <v>112</v>
      </c>
      <c r="Q297" s="240">
        <f t="shared" si="60"/>
        <v>0</v>
      </c>
      <c r="R297" s="239">
        <v>1</v>
      </c>
      <c r="S297" s="240">
        <f t="shared" si="63"/>
        <v>1</v>
      </c>
      <c r="T297" s="216" t="s">
        <v>48</v>
      </c>
      <c r="U297" s="196" t="str">
        <f t="shared" si="61"/>
        <v>1 Hrs</v>
      </c>
    </row>
    <row r="298" spans="3:21" s="185" customFormat="1" ht="20.25" customHeight="1">
      <c r="C298" s="198">
        <f>D298</f>
        <v>298</v>
      </c>
      <c r="D298" s="203">
        <f t="shared" si="57"/>
        <v>298</v>
      </c>
      <c r="E298" s="209" t="s">
        <v>306</v>
      </c>
      <c r="F298" s="210">
        <f>D293</f>
        <v>293</v>
      </c>
      <c r="G298" s="206"/>
      <c r="H298" s="206"/>
      <c r="I298" s="208"/>
      <c r="J298" s="208"/>
      <c r="K298" s="234"/>
      <c r="L298" s="208"/>
      <c r="M298" s="217"/>
      <c r="N298" s="208"/>
      <c r="O298" s="218"/>
      <c r="P298" s="208"/>
      <c r="Q298" s="240"/>
      <c r="R298" s="239"/>
      <c r="S298" s="240"/>
      <c r="T298" s="216"/>
      <c r="U298" s="196"/>
    </row>
    <row r="299" spans="3:21" s="185" customFormat="1" ht="20.25" customHeight="1">
      <c r="C299" s="198"/>
      <c r="D299" s="203">
        <f t="shared" si="57"/>
        <v>299</v>
      </c>
      <c r="E299" s="207" t="s">
        <v>307</v>
      </c>
      <c r="F299" s="211"/>
      <c r="G299" s="206" t="s">
        <v>115</v>
      </c>
      <c r="H299" s="206"/>
      <c r="I299" s="224">
        <v>6</v>
      </c>
      <c r="J299" s="211" t="str">
        <f>J294</f>
        <v>2500 mm</v>
      </c>
      <c r="K299" s="234">
        <v>1</v>
      </c>
      <c r="L299" s="208" t="s">
        <v>81</v>
      </c>
      <c r="M299" s="227">
        <f t="shared" si="59"/>
        <v>2.5</v>
      </c>
      <c r="N299" s="208" t="s">
        <v>139</v>
      </c>
      <c r="O299" s="246">
        <f>VLOOKUP(I299,BM!$A$2:$X$104,12,FALSE)</f>
        <v>0.9</v>
      </c>
      <c r="P299" s="208" t="s">
        <v>112</v>
      </c>
      <c r="Q299" s="240">
        <f t="shared" si="60"/>
        <v>2.25</v>
      </c>
      <c r="R299" s="239">
        <v>1</v>
      </c>
      <c r="S299" s="240">
        <f t="shared" si="63"/>
        <v>3.25</v>
      </c>
      <c r="T299" s="216" t="s">
        <v>48</v>
      </c>
      <c r="U299" s="196" t="str">
        <f t="shared" si="61"/>
        <v>3.25 Hrs</v>
      </c>
    </row>
    <row r="300" spans="3:21" s="185" customFormat="1" ht="20.25" customHeight="1">
      <c r="C300" s="198"/>
      <c r="D300" s="203">
        <f t="shared" si="57"/>
        <v>300</v>
      </c>
      <c r="E300" s="207" t="s">
        <v>307</v>
      </c>
      <c r="F300" s="211">
        <f t="shared" si="62"/>
        <v>299</v>
      </c>
      <c r="G300" s="206" t="s">
        <v>115</v>
      </c>
      <c r="H300" s="206"/>
      <c r="I300" s="233">
        <f>I299</f>
        <v>6</v>
      </c>
      <c r="J300" s="211" t="str">
        <f>J295</f>
        <v>2000 mm</v>
      </c>
      <c r="K300" s="234">
        <v>1</v>
      </c>
      <c r="L300" s="208" t="s">
        <v>81</v>
      </c>
      <c r="M300" s="227">
        <f t="shared" si="59"/>
        <v>2</v>
      </c>
      <c r="N300" s="208" t="s">
        <v>139</v>
      </c>
      <c r="O300" s="246">
        <f>VLOOKUP(I300,BM!$A$2:$X$104,12,FALSE)</f>
        <v>0.9</v>
      </c>
      <c r="P300" s="208" t="s">
        <v>112</v>
      </c>
      <c r="Q300" s="240">
        <f t="shared" si="60"/>
        <v>1.8</v>
      </c>
      <c r="R300" s="239">
        <v>1</v>
      </c>
      <c r="S300" s="240">
        <f t="shared" si="63"/>
        <v>2.8</v>
      </c>
      <c r="T300" s="216" t="s">
        <v>48</v>
      </c>
      <c r="U300" s="196" t="str">
        <f t="shared" si="61"/>
        <v>2.8 Hrs</v>
      </c>
    </row>
    <row r="301" spans="3:21" s="185" customFormat="1" ht="20.25" customHeight="1">
      <c r="C301" s="198"/>
      <c r="D301" s="203">
        <f t="shared" si="57"/>
        <v>301</v>
      </c>
      <c r="E301" s="207" t="s">
        <v>307</v>
      </c>
      <c r="F301" s="211">
        <f t="shared" si="62"/>
        <v>300</v>
      </c>
      <c r="G301" s="206" t="s">
        <v>115</v>
      </c>
      <c r="H301" s="206"/>
      <c r="I301" s="233">
        <f>I300</f>
        <v>6</v>
      </c>
      <c r="J301" s="211" t="str">
        <f>J296</f>
        <v>1000 mm</v>
      </c>
      <c r="K301" s="234">
        <v>1</v>
      </c>
      <c r="L301" s="208" t="s">
        <v>81</v>
      </c>
      <c r="M301" s="227">
        <f t="shared" si="59"/>
        <v>1</v>
      </c>
      <c r="N301" s="208" t="s">
        <v>139</v>
      </c>
      <c r="O301" s="246">
        <f>VLOOKUP(I301,BM!$A$2:$X$104,12,FALSE)</f>
        <v>0.9</v>
      </c>
      <c r="P301" s="208" t="s">
        <v>112</v>
      </c>
      <c r="Q301" s="240">
        <f t="shared" si="60"/>
        <v>0.9</v>
      </c>
      <c r="R301" s="239">
        <v>1</v>
      </c>
      <c r="S301" s="240">
        <f t="shared" si="63"/>
        <v>1.9</v>
      </c>
      <c r="T301" s="216" t="s">
        <v>48</v>
      </c>
      <c r="U301" s="196" t="str">
        <f t="shared" si="61"/>
        <v>1.9 Hrs</v>
      </c>
    </row>
    <row r="302" spans="3:21" s="185" customFormat="1" ht="20.25" customHeight="1">
      <c r="C302" s="198"/>
      <c r="D302" s="203">
        <f t="shared" si="57"/>
        <v>302</v>
      </c>
      <c r="E302" s="207" t="s">
        <v>307</v>
      </c>
      <c r="F302" s="211">
        <f t="shared" si="62"/>
        <v>301</v>
      </c>
      <c r="G302" s="206" t="s">
        <v>115</v>
      </c>
      <c r="H302" s="206"/>
      <c r="I302" s="233">
        <f>I301</f>
        <v>6</v>
      </c>
      <c r="J302" s="211" t="str">
        <f>J297</f>
        <v>0 mm</v>
      </c>
      <c r="K302" s="234">
        <v>1</v>
      </c>
      <c r="L302" s="208" t="s">
        <v>81</v>
      </c>
      <c r="M302" s="227">
        <f t="shared" si="59"/>
        <v>0</v>
      </c>
      <c r="N302" s="208" t="s">
        <v>139</v>
      </c>
      <c r="O302" s="246">
        <f>VLOOKUP(I302,BM!$A$2:$X$104,12,FALSE)</f>
        <v>0.9</v>
      </c>
      <c r="P302" s="208" t="s">
        <v>112</v>
      </c>
      <c r="Q302" s="240">
        <f t="shared" si="60"/>
        <v>0</v>
      </c>
      <c r="R302" s="239">
        <v>1</v>
      </c>
      <c r="S302" s="240">
        <f t="shared" si="63"/>
        <v>1</v>
      </c>
      <c r="T302" s="216" t="s">
        <v>48</v>
      </c>
      <c r="U302" s="196" t="str">
        <f t="shared" si="61"/>
        <v>1 Hrs</v>
      </c>
    </row>
    <row r="303" spans="3:21" s="185" customFormat="1" ht="20.25" customHeight="1">
      <c r="C303" s="198">
        <f>D303</f>
        <v>303</v>
      </c>
      <c r="D303" s="203">
        <f t="shared" si="57"/>
        <v>303</v>
      </c>
      <c r="E303" s="209" t="s">
        <v>308</v>
      </c>
      <c r="F303" s="210">
        <f>D298</f>
        <v>298</v>
      </c>
      <c r="G303" s="206"/>
      <c r="H303" s="206"/>
      <c r="I303" s="208"/>
      <c r="J303" s="208"/>
      <c r="K303" s="234"/>
      <c r="L303" s="208"/>
      <c r="M303" s="217"/>
      <c r="N303" s="208"/>
      <c r="O303" s="218"/>
      <c r="P303" s="208"/>
      <c r="Q303" s="240"/>
      <c r="R303" s="239"/>
      <c r="S303" s="240"/>
      <c r="T303" s="216"/>
      <c r="U303" s="196"/>
    </row>
    <row r="304" spans="3:21" s="185" customFormat="1" ht="20.25" customHeight="1">
      <c r="C304" s="198"/>
      <c r="D304" s="203">
        <f t="shared" si="57"/>
        <v>304</v>
      </c>
      <c r="E304" s="207" t="s">
        <v>309</v>
      </c>
      <c r="F304" s="211"/>
      <c r="G304" s="206" t="s">
        <v>61</v>
      </c>
      <c r="H304" s="206"/>
      <c r="I304" s="233">
        <f>I294</f>
        <v>18</v>
      </c>
      <c r="J304" s="211" t="str">
        <f>J299</f>
        <v>2500 mm</v>
      </c>
      <c r="K304" s="234">
        <v>1</v>
      </c>
      <c r="L304" s="208" t="s">
        <v>81</v>
      </c>
      <c r="M304" s="227">
        <f t="shared" si="59"/>
        <v>2.5</v>
      </c>
      <c r="N304" s="208" t="s">
        <v>139</v>
      </c>
      <c r="O304" s="246">
        <f>VLOOKUP(I304,BM!$A$2:$X$104,20,FALSE)</f>
        <v>0.5</v>
      </c>
      <c r="P304" s="208" t="s">
        <v>112</v>
      </c>
      <c r="Q304" s="240">
        <f t="shared" si="60"/>
        <v>1.25</v>
      </c>
      <c r="R304" s="239">
        <v>1</v>
      </c>
      <c r="S304" s="240">
        <f t="shared" si="63"/>
        <v>2.25</v>
      </c>
      <c r="T304" s="216" t="s">
        <v>48</v>
      </c>
      <c r="U304" s="196" t="str">
        <f t="shared" si="61"/>
        <v>2.25 Hrs</v>
      </c>
    </row>
    <row r="305" spans="3:21" s="185" customFormat="1" ht="20.25" customHeight="1">
      <c r="C305" s="198"/>
      <c r="D305" s="203">
        <f t="shared" si="57"/>
        <v>305</v>
      </c>
      <c r="E305" s="207" t="s">
        <v>309</v>
      </c>
      <c r="F305" s="211">
        <f t="shared" si="62"/>
        <v>304</v>
      </c>
      <c r="G305" s="206" t="s">
        <v>61</v>
      </c>
      <c r="H305" s="206"/>
      <c r="I305" s="233">
        <f t="shared" ref="I305:I307" si="64">I304</f>
        <v>18</v>
      </c>
      <c r="J305" s="211" t="str">
        <f>J300</f>
        <v>2000 mm</v>
      </c>
      <c r="K305" s="234">
        <v>1</v>
      </c>
      <c r="L305" s="208" t="s">
        <v>81</v>
      </c>
      <c r="M305" s="227">
        <f t="shared" si="59"/>
        <v>2</v>
      </c>
      <c r="N305" s="208" t="s">
        <v>139</v>
      </c>
      <c r="O305" s="246">
        <f>VLOOKUP(I305,BM!$A$2:$X$104,20,FALSE)</f>
        <v>0.5</v>
      </c>
      <c r="P305" s="208" t="s">
        <v>112</v>
      </c>
      <c r="Q305" s="240">
        <f t="shared" si="60"/>
        <v>1</v>
      </c>
      <c r="R305" s="239">
        <v>1</v>
      </c>
      <c r="S305" s="240">
        <f t="shared" si="63"/>
        <v>2</v>
      </c>
      <c r="T305" s="216" t="s">
        <v>48</v>
      </c>
      <c r="U305" s="196" t="str">
        <f t="shared" si="61"/>
        <v>2 Hrs</v>
      </c>
    </row>
    <row r="306" spans="3:21" s="185" customFormat="1" ht="20.25" customHeight="1">
      <c r="C306" s="198"/>
      <c r="D306" s="203">
        <f t="shared" si="57"/>
        <v>306</v>
      </c>
      <c r="E306" s="207" t="s">
        <v>309</v>
      </c>
      <c r="F306" s="211">
        <f t="shared" si="62"/>
        <v>305</v>
      </c>
      <c r="G306" s="206" t="s">
        <v>61</v>
      </c>
      <c r="H306" s="206"/>
      <c r="I306" s="233">
        <f t="shared" si="64"/>
        <v>18</v>
      </c>
      <c r="J306" s="211" t="str">
        <f>J301</f>
        <v>1000 mm</v>
      </c>
      <c r="K306" s="234">
        <v>1</v>
      </c>
      <c r="L306" s="208" t="s">
        <v>81</v>
      </c>
      <c r="M306" s="227">
        <f t="shared" si="59"/>
        <v>1</v>
      </c>
      <c r="N306" s="208" t="s">
        <v>139</v>
      </c>
      <c r="O306" s="246">
        <f>VLOOKUP(I306,BM!$A$2:$X$104,20,FALSE)</f>
        <v>0.5</v>
      </c>
      <c r="P306" s="208" t="s">
        <v>112</v>
      </c>
      <c r="Q306" s="240">
        <f t="shared" si="60"/>
        <v>0.5</v>
      </c>
      <c r="R306" s="239">
        <v>1</v>
      </c>
      <c r="S306" s="240">
        <f t="shared" si="63"/>
        <v>1.5</v>
      </c>
      <c r="T306" s="216" t="s">
        <v>48</v>
      </c>
      <c r="U306" s="196" t="str">
        <f t="shared" si="61"/>
        <v>1.5 Hrs</v>
      </c>
    </row>
    <row r="307" spans="3:21" s="185" customFormat="1" ht="20.25" customHeight="1">
      <c r="C307" s="198"/>
      <c r="D307" s="203">
        <f t="shared" si="57"/>
        <v>307</v>
      </c>
      <c r="E307" s="207" t="s">
        <v>309</v>
      </c>
      <c r="F307" s="211">
        <f t="shared" si="62"/>
        <v>306</v>
      </c>
      <c r="G307" s="206" t="s">
        <v>61</v>
      </c>
      <c r="H307" s="206"/>
      <c r="I307" s="233">
        <f t="shared" si="64"/>
        <v>18</v>
      </c>
      <c r="J307" s="211" t="str">
        <f>J302</f>
        <v>0 mm</v>
      </c>
      <c r="K307" s="234">
        <v>1</v>
      </c>
      <c r="L307" s="208" t="s">
        <v>81</v>
      </c>
      <c r="M307" s="227">
        <f t="shared" si="59"/>
        <v>0</v>
      </c>
      <c r="N307" s="208" t="s">
        <v>139</v>
      </c>
      <c r="O307" s="246">
        <f>VLOOKUP(I307,BM!$A$2:$X$104,20,FALSE)</f>
        <v>0.5</v>
      </c>
      <c r="P307" s="208" t="s">
        <v>112</v>
      </c>
      <c r="Q307" s="240">
        <f t="shared" si="60"/>
        <v>0</v>
      </c>
      <c r="R307" s="239">
        <v>1</v>
      </c>
      <c r="S307" s="240">
        <f t="shared" si="63"/>
        <v>1</v>
      </c>
      <c r="T307" s="216" t="s">
        <v>48</v>
      </c>
      <c r="U307" s="196" t="str">
        <f t="shared" si="61"/>
        <v>1 Hrs</v>
      </c>
    </row>
    <row r="308" spans="3:21" s="185" customFormat="1" ht="20.25" customHeight="1">
      <c r="C308" s="198">
        <f>D308</f>
        <v>308</v>
      </c>
      <c r="D308" s="203">
        <f t="shared" si="57"/>
        <v>308</v>
      </c>
      <c r="E308" s="209" t="s">
        <v>310</v>
      </c>
      <c r="F308" s="210">
        <f>D303</f>
        <v>303</v>
      </c>
      <c r="G308" s="206"/>
      <c r="H308" s="206"/>
      <c r="I308" s="208"/>
      <c r="J308" s="208"/>
      <c r="K308" s="234"/>
      <c r="L308" s="208"/>
      <c r="M308" s="217"/>
      <c r="N308" s="208"/>
      <c r="O308" s="218"/>
      <c r="P308" s="208"/>
      <c r="Q308" s="240"/>
      <c r="R308" s="239"/>
      <c r="S308" s="240"/>
      <c r="T308" s="216"/>
      <c r="U308" s="196"/>
    </row>
    <row r="309" spans="3:21" s="185" customFormat="1" ht="20.25" customHeight="1">
      <c r="C309" s="198"/>
      <c r="D309" s="203">
        <f t="shared" si="57"/>
        <v>309</v>
      </c>
      <c r="E309" s="207" t="s">
        <v>311</v>
      </c>
      <c r="F309" s="211"/>
      <c r="G309" s="206" t="s">
        <v>312</v>
      </c>
      <c r="H309" s="206"/>
      <c r="I309" s="233">
        <f>I307</f>
        <v>18</v>
      </c>
      <c r="J309" s="211" t="str">
        <f>J304</f>
        <v>2500 mm</v>
      </c>
      <c r="K309" s="234">
        <v>1</v>
      </c>
      <c r="L309" s="208" t="s">
        <v>81</v>
      </c>
      <c r="M309" s="217">
        <v>1</v>
      </c>
      <c r="N309" s="208" t="s">
        <v>39</v>
      </c>
      <c r="O309" s="218">
        <v>1</v>
      </c>
      <c r="P309" s="208" t="s">
        <v>41</v>
      </c>
      <c r="Q309" s="240">
        <f t="shared" si="60"/>
        <v>1</v>
      </c>
      <c r="R309" s="239"/>
      <c r="S309" s="240">
        <f t="shared" si="63"/>
        <v>1</v>
      </c>
      <c r="T309" s="216" t="s">
        <v>42</v>
      </c>
      <c r="U309" s="196" t="str">
        <f t="shared" si="61"/>
        <v>1 Days</v>
      </c>
    </row>
    <row r="310" spans="3:21" s="185" customFormat="1" ht="20.25" customHeight="1">
      <c r="C310" s="198"/>
      <c r="D310" s="203">
        <f t="shared" si="57"/>
        <v>310</v>
      </c>
      <c r="E310" s="207" t="s">
        <v>311</v>
      </c>
      <c r="F310" s="211">
        <f t="shared" si="62"/>
        <v>309</v>
      </c>
      <c r="G310" s="206" t="s">
        <v>312</v>
      </c>
      <c r="H310" s="206"/>
      <c r="I310" s="233">
        <f t="shared" ref="I310:I312" si="65">I309</f>
        <v>18</v>
      </c>
      <c r="J310" s="211" t="str">
        <f>J305</f>
        <v>2000 mm</v>
      </c>
      <c r="K310" s="234">
        <v>1</v>
      </c>
      <c r="L310" s="208" t="s">
        <v>81</v>
      </c>
      <c r="M310" s="217">
        <v>1</v>
      </c>
      <c r="N310" s="208" t="s">
        <v>39</v>
      </c>
      <c r="O310" s="246">
        <f t="shared" ref="O310:P312" si="66">O309</f>
        <v>1</v>
      </c>
      <c r="P310" s="211" t="str">
        <f t="shared" si="66"/>
        <v>Day</v>
      </c>
      <c r="Q310" s="240">
        <f t="shared" si="60"/>
        <v>1</v>
      </c>
      <c r="R310" s="239"/>
      <c r="S310" s="240">
        <f t="shared" si="63"/>
        <v>1</v>
      </c>
      <c r="T310" s="216" t="s">
        <v>42</v>
      </c>
      <c r="U310" s="196" t="str">
        <f t="shared" si="61"/>
        <v>1 Days</v>
      </c>
    </row>
    <row r="311" spans="3:21" s="185" customFormat="1" ht="20.25" customHeight="1">
      <c r="C311" s="198"/>
      <c r="D311" s="203">
        <f t="shared" si="57"/>
        <v>311</v>
      </c>
      <c r="E311" s="207" t="s">
        <v>311</v>
      </c>
      <c r="F311" s="211">
        <f t="shared" si="62"/>
        <v>310</v>
      </c>
      <c r="G311" s="206" t="s">
        <v>312</v>
      </c>
      <c r="H311" s="206"/>
      <c r="I311" s="233">
        <f t="shared" si="65"/>
        <v>18</v>
      </c>
      <c r="J311" s="211" t="str">
        <f>J306</f>
        <v>1000 mm</v>
      </c>
      <c r="K311" s="234">
        <v>1</v>
      </c>
      <c r="L311" s="208" t="s">
        <v>81</v>
      </c>
      <c r="M311" s="217">
        <v>1</v>
      </c>
      <c r="N311" s="208" t="s">
        <v>39</v>
      </c>
      <c r="O311" s="246">
        <f t="shared" si="66"/>
        <v>1</v>
      </c>
      <c r="P311" s="211" t="str">
        <f t="shared" si="66"/>
        <v>Day</v>
      </c>
      <c r="Q311" s="240">
        <f t="shared" si="60"/>
        <v>1</v>
      </c>
      <c r="R311" s="239"/>
      <c r="S311" s="240">
        <f t="shared" si="63"/>
        <v>1</v>
      </c>
      <c r="T311" s="216" t="s">
        <v>42</v>
      </c>
      <c r="U311" s="196" t="str">
        <f t="shared" si="61"/>
        <v>1 Days</v>
      </c>
    </row>
    <row r="312" spans="3:21" s="185" customFormat="1" ht="20.25" customHeight="1">
      <c r="C312" s="198"/>
      <c r="D312" s="203">
        <f t="shared" si="57"/>
        <v>312</v>
      </c>
      <c r="E312" s="207" t="s">
        <v>311</v>
      </c>
      <c r="F312" s="211">
        <f t="shared" si="62"/>
        <v>311</v>
      </c>
      <c r="G312" s="206" t="s">
        <v>312</v>
      </c>
      <c r="H312" s="206"/>
      <c r="I312" s="233">
        <f t="shared" si="65"/>
        <v>18</v>
      </c>
      <c r="J312" s="211" t="str">
        <f>J307</f>
        <v>0 mm</v>
      </c>
      <c r="K312" s="234">
        <v>1</v>
      </c>
      <c r="L312" s="208" t="s">
        <v>81</v>
      </c>
      <c r="M312" s="217">
        <v>1</v>
      </c>
      <c r="N312" s="208" t="s">
        <v>39</v>
      </c>
      <c r="O312" s="246">
        <f t="shared" si="66"/>
        <v>1</v>
      </c>
      <c r="P312" s="211" t="str">
        <f t="shared" si="66"/>
        <v>Day</v>
      </c>
      <c r="Q312" s="240">
        <f t="shared" si="60"/>
        <v>1</v>
      </c>
      <c r="R312" s="239"/>
      <c r="S312" s="240">
        <f t="shared" si="63"/>
        <v>1</v>
      </c>
      <c r="T312" s="216" t="s">
        <v>42</v>
      </c>
      <c r="U312" s="196" t="str">
        <f t="shared" si="61"/>
        <v>1 Days</v>
      </c>
    </row>
    <row r="313" spans="3:21" s="185" customFormat="1" ht="20.25" customHeight="1">
      <c r="C313" s="198">
        <f>D313</f>
        <v>313</v>
      </c>
      <c r="D313" s="203">
        <f t="shared" si="57"/>
        <v>313</v>
      </c>
      <c r="E313" s="209" t="s">
        <v>313</v>
      </c>
      <c r="F313" s="210">
        <f>D308</f>
        <v>308</v>
      </c>
      <c r="G313" s="206"/>
      <c r="H313" s="206"/>
      <c r="I313" s="208"/>
      <c r="J313" s="208"/>
      <c r="K313" s="234"/>
      <c r="L313" s="208"/>
      <c r="M313" s="217"/>
      <c r="N313" s="208"/>
      <c r="O313" s="218"/>
      <c r="P313" s="208"/>
      <c r="Q313" s="240">
        <f t="shared" si="60"/>
        <v>0</v>
      </c>
      <c r="R313" s="239"/>
      <c r="S313" s="240"/>
      <c r="T313" s="216"/>
      <c r="U313" s="196"/>
    </row>
    <row r="314" spans="3:21" s="185" customFormat="1" ht="20.25" customHeight="1">
      <c r="C314" s="198"/>
      <c r="D314" s="203">
        <f t="shared" si="57"/>
        <v>314</v>
      </c>
      <c r="E314" s="207" t="s">
        <v>314</v>
      </c>
      <c r="F314" s="211"/>
      <c r="G314" s="206" t="s">
        <v>286</v>
      </c>
      <c r="H314" s="206"/>
      <c r="I314" s="233">
        <f>I312</f>
        <v>18</v>
      </c>
      <c r="J314" s="211" t="str">
        <f>J309</f>
        <v>2500 mm</v>
      </c>
      <c r="K314" s="234">
        <v>1</v>
      </c>
      <c r="L314" s="208" t="s">
        <v>81</v>
      </c>
      <c r="M314" s="235">
        <f>K314</f>
        <v>1</v>
      </c>
      <c r="N314" s="208" t="s">
        <v>39</v>
      </c>
      <c r="O314" s="218">
        <v>3</v>
      </c>
      <c r="P314" s="208" t="s">
        <v>112</v>
      </c>
      <c r="Q314" s="240">
        <f t="shared" si="60"/>
        <v>3</v>
      </c>
      <c r="R314" s="239">
        <v>1</v>
      </c>
      <c r="S314" s="240">
        <f t="shared" si="63"/>
        <v>4</v>
      </c>
      <c r="T314" s="216" t="s">
        <v>48</v>
      </c>
      <c r="U314" s="196" t="str">
        <f t="shared" si="61"/>
        <v>4 Hrs</v>
      </c>
    </row>
    <row r="315" spans="3:21" s="185" customFormat="1" ht="20.25" customHeight="1">
      <c r="C315" s="198"/>
      <c r="D315" s="203">
        <f t="shared" si="57"/>
        <v>315</v>
      </c>
      <c r="E315" s="207" t="s">
        <v>314</v>
      </c>
      <c r="F315" s="211">
        <f t="shared" si="62"/>
        <v>314</v>
      </c>
      <c r="G315" s="206" t="s">
        <v>286</v>
      </c>
      <c r="H315" s="206"/>
      <c r="I315" s="233">
        <f>I312</f>
        <v>18</v>
      </c>
      <c r="J315" s="211" t="str">
        <f>J310</f>
        <v>2000 mm</v>
      </c>
      <c r="K315" s="234">
        <v>1</v>
      </c>
      <c r="L315" s="208" t="s">
        <v>81</v>
      </c>
      <c r="M315" s="235">
        <f>K315</f>
        <v>1</v>
      </c>
      <c r="N315" s="208" t="s">
        <v>39</v>
      </c>
      <c r="O315" s="246">
        <f>O314</f>
        <v>3</v>
      </c>
      <c r="P315" s="208" t="s">
        <v>112</v>
      </c>
      <c r="Q315" s="240">
        <f t="shared" si="60"/>
        <v>3</v>
      </c>
      <c r="R315" s="239">
        <v>1</v>
      </c>
      <c r="S315" s="240">
        <f t="shared" si="63"/>
        <v>4</v>
      </c>
      <c r="T315" s="216" t="s">
        <v>48</v>
      </c>
      <c r="U315" s="196" t="str">
        <f t="shared" si="61"/>
        <v>4 Hrs</v>
      </c>
    </row>
    <row r="316" spans="3:21" s="185" customFormat="1" ht="20.25" customHeight="1">
      <c r="C316" s="198"/>
      <c r="D316" s="203">
        <f t="shared" si="57"/>
        <v>316</v>
      </c>
      <c r="E316" s="207" t="s">
        <v>314</v>
      </c>
      <c r="F316" s="211">
        <f t="shared" si="62"/>
        <v>315</v>
      </c>
      <c r="G316" s="206" t="s">
        <v>286</v>
      </c>
      <c r="H316" s="206"/>
      <c r="I316" s="233">
        <f>I312</f>
        <v>18</v>
      </c>
      <c r="J316" s="211" t="str">
        <f>J311</f>
        <v>1000 mm</v>
      </c>
      <c r="K316" s="234">
        <v>1</v>
      </c>
      <c r="L316" s="208" t="s">
        <v>81</v>
      </c>
      <c r="M316" s="235">
        <f>K316</f>
        <v>1</v>
      </c>
      <c r="N316" s="208" t="s">
        <v>39</v>
      </c>
      <c r="O316" s="246">
        <f>O315</f>
        <v>3</v>
      </c>
      <c r="P316" s="208" t="s">
        <v>112</v>
      </c>
      <c r="Q316" s="240">
        <f t="shared" si="60"/>
        <v>3</v>
      </c>
      <c r="R316" s="239">
        <v>1</v>
      </c>
      <c r="S316" s="240">
        <f t="shared" si="63"/>
        <v>4</v>
      </c>
      <c r="T316" s="216" t="s">
        <v>48</v>
      </c>
      <c r="U316" s="196" t="str">
        <f t="shared" si="61"/>
        <v>4 Hrs</v>
      </c>
    </row>
    <row r="317" spans="3:21" s="185" customFormat="1" ht="20.25" customHeight="1">
      <c r="C317" s="198"/>
      <c r="D317" s="203">
        <f t="shared" si="57"/>
        <v>317</v>
      </c>
      <c r="E317" s="207" t="s">
        <v>314</v>
      </c>
      <c r="F317" s="211">
        <f t="shared" si="62"/>
        <v>316</v>
      </c>
      <c r="G317" s="206" t="s">
        <v>286</v>
      </c>
      <c r="H317" s="206"/>
      <c r="I317" s="233">
        <f>I312</f>
        <v>18</v>
      </c>
      <c r="J317" s="211" t="str">
        <f>J312</f>
        <v>0 mm</v>
      </c>
      <c r="K317" s="234">
        <v>1</v>
      </c>
      <c r="L317" s="208" t="s">
        <v>81</v>
      </c>
      <c r="M317" s="235">
        <f>K317</f>
        <v>1</v>
      </c>
      <c r="N317" s="208" t="s">
        <v>39</v>
      </c>
      <c r="O317" s="246">
        <f>O316</f>
        <v>3</v>
      </c>
      <c r="P317" s="208" t="s">
        <v>112</v>
      </c>
      <c r="Q317" s="240">
        <f t="shared" si="60"/>
        <v>3</v>
      </c>
      <c r="R317" s="239">
        <v>1</v>
      </c>
      <c r="S317" s="240">
        <f t="shared" si="63"/>
        <v>4</v>
      </c>
      <c r="T317" s="216" t="s">
        <v>48</v>
      </c>
      <c r="U317" s="196" t="str">
        <f t="shared" si="61"/>
        <v>4 Hrs</v>
      </c>
    </row>
    <row r="318" spans="3:21" s="185" customFormat="1" ht="20.25" customHeight="1">
      <c r="C318" s="198">
        <f>D318</f>
        <v>318</v>
      </c>
      <c r="D318" s="203">
        <f t="shared" si="57"/>
        <v>318</v>
      </c>
      <c r="E318" s="209" t="s">
        <v>315</v>
      </c>
      <c r="F318" s="210">
        <f>D313</f>
        <v>313</v>
      </c>
      <c r="G318" s="206"/>
      <c r="H318" s="206"/>
      <c r="I318" s="208"/>
      <c r="J318" s="208"/>
      <c r="K318" s="234"/>
      <c r="L318" s="208"/>
      <c r="M318" s="217"/>
      <c r="N318" s="208"/>
      <c r="O318" s="218"/>
      <c r="P318" s="208"/>
      <c r="Q318" s="240"/>
      <c r="R318" s="239"/>
      <c r="S318" s="240"/>
      <c r="T318" s="216"/>
      <c r="U318" s="196"/>
    </row>
    <row r="319" spans="3:21" s="185" customFormat="1" ht="20.25" customHeight="1">
      <c r="C319" s="198"/>
      <c r="D319" s="203">
        <f t="shared" si="57"/>
        <v>319</v>
      </c>
      <c r="E319" s="207" t="s">
        <v>316</v>
      </c>
      <c r="F319" s="211"/>
      <c r="G319" s="206" t="s">
        <v>44</v>
      </c>
      <c r="H319" s="206"/>
      <c r="I319" s="224">
        <v>12</v>
      </c>
      <c r="J319" s="252" t="s">
        <v>1250</v>
      </c>
      <c r="K319" s="234">
        <v>1</v>
      </c>
      <c r="L319" s="208" t="s">
        <v>81</v>
      </c>
      <c r="M319" s="227">
        <f>LEFT(J319,SEARCH(" ",J319,1)-1)*3.142*K319*0.001</f>
        <v>1.9637500000000001</v>
      </c>
      <c r="N319" s="208" t="s">
        <v>139</v>
      </c>
      <c r="O319" s="246">
        <f>VLOOKUP(I319,BM!$A$2:$X$104,10,FALSE)</f>
        <v>1</v>
      </c>
      <c r="P319" s="208" t="s">
        <v>112</v>
      </c>
      <c r="Q319" s="240">
        <f t="shared" si="60"/>
        <v>1.9637500000000001</v>
      </c>
      <c r="R319" s="239">
        <v>1</v>
      </c>
      <c r="S319" s="240">
        <f t="shared" si="63"/>
        <v>2.96</v>
      </c>
      <c r="T319" s="216" t="s">
        <v>48</v>
      </c>
      <c r="U319" s="196" t="str">
        <f t="shared" si="61"/>
        <v>2.96 Hrs</v>
      </c>
    </row>
    <row r="320" spans="3:21" s="185" customFormat="1" ht="20.25" customHeight="1">
      <c r="C320" s="198"/>
      <c r="D320" s="203">
        <f t="shared" si="57"/>
        <v>320</v>
      </c>
      <c r="E320" s="207" t="s">
        <v>316</v>
      </c>
      <c r="F320" s="211">
        <f t="shared" si="62"/>
        <v>319</v>
      </c>
      <c r="G320" s="206" t="s">
        <v>44</v>
      </c>
      <c r="H320" s="206"/>
      <c r="I320" s="224">
        <v>18</v>
      </c>
      <c r="J320" s="211" t="str">
        <f>J319</f>
        <v>625 mm id</v>
      </c>
      <c r="K320" s="234">
        <v>1</v>
      </c>
      <c r="L320" s="208" t="s">
        <v>81</v>
      </c>
      <c r="M320" s="227">
        <f t="shared" ref="M320:M322" si="67">LEFT(J320,SEARCH(" ",J320,1)-1)*3.142*K320*0.001</f>
        <v>1.9637500000000001</v>
      </c>
      <c r="N320" s="208" t="s">
        <v>139</v>
      </c>
      <c r="O320" s="246">
        <f>VLOOKUP(I320,BM!$A$2:$X$104,10,FALSE)</f>
        <v>1</v>
      </c>
      <c r="P320" s="208" t="s">
        <v>112</v>
      </c>
      <c r="Q320" s="240">
        <f t="shared" si="60"/>
        <v>1.9637500000000001</v>
      </c>
      <c r="R320" s="239">
        <v>1</v>
      </c>
      <c r="S320" s="240">
        <f t="shared" si="63"/>
        <v>2.96</v>
      </c>
      <c r="T320" s="216" t="s">
        <v>48</v>
      </c>
      <c r="U320" s="196" t="str">
        <f t="shared" si="61"/>
        <v>2.96 Hrs</v>
      </c>
    </row>
    <row r="321" spans="3:21" s="185" customFormat="1" ht="20.25" customHeight="1">
      <c r="C321" s="198"/>
      <c r="D321" s="203">
        <f t="shared" si="57"/>
        <v>321</v>
      </c>
      <c r="E321" s="207" t="s">
        <v>316</v>
      </c>
      <c r="F321" s="211">
        <f t="shared" si="62"/>
        <v>320</v>
      </c>
      <c r="G321" s="206" t="s">
        <v>44</v>
      </c>
      <c r="H321" s="206"/>
      <c r="I321" s="224">
        <v>18</v>
      </c>
      <c r="J321" s="211" t="str">
        <f>J320</f>
        <v>625 mm id</v>
      </c>
      <c r="K321" s="234">
        <v>1</v>
      </c>
      <c r="L321" s="208" t="s">
        <v>81</v>
      </c>
      <c r="M321" s="227">
        <f t="shared" si="67"/>
        <v>1.9637500000000001</v>
      </c>
      <c r="N321" s="208" t="s">
        <v>139</v>
      </c>
      <c r="O321" s="246">
        <f>VLOOKUP(I321,BM!$A$2:$X$104,10,FALSE)</f>
        <v>1</v>
      </c>
      <c r="P321" s="208" t="s">
        <v>112</v>
      </c>
      <c r="Q321" s="240">
        <f t="shared" si="60"/>
        <v>1.9637500000000001</v>
      </c>
      <c r="R321" s="239">
        <v>1</v>
      </c>
      <c r="S321" s="240">
        <f t="shared" si="63"/>
        <v>2.96</v>
      </c>
      <c r="T321" s="216" t="s">
        <v>48</v>
      </c>
      <c r="U321" s="196" t="str">
        <f t="shared" si="61"/>
        <v>2.96 Hrs</v>
      </c>
    </row>
    <row r="322" spans="3:21" s="185" customFormat="1" ht="20.25" customHeight="1">
      <c r="C322" s="198"/>
      <c r="D322" s="203">
        <f t="shared" si="57"/>
        <v>322</v>
      </c>
      <c r="E322" s="207" t="s">
        <v>316</v>
      </c>
      <c r="F322" s="211">
        <f t="shared" si="62"/>
        <v>321</v>
      </c>
      <c r="G322" s="206" t="s">
        <v>44</v>
      </c>
      <c r="H322" s="206"/>
      <c r="I322" s="224">
        <v>18</v>
      </c>
      <c r="J322" s="211" t="s">
        <v>318</v>
      </c>
      <c r="K322" s="234">
        <v>1</v>
      </c>
      <c r="L322" s="208" t="s">
        <v>81</v>
      </c>
      <c r="M322" s="227">
        <f t="shared" si="67"/>
        <v>0</v>
      </c>
      <c r="N322" s="208" t="s">
        <v>139</v>
      </c>
      <c r="O322" s="246">
        <f>VLOOKUP(I322,BM!$A$2:$X$104,10,FALSE)</f>
        <v>1</v>
      </c>
      <c r="P322" s="208" t="s">
        <v>112</v>
      </c>
      <c r="Q322" s="240">
        <f t="shared" si="60"/>
        <v>0</v>
      </c>
      <c r="R322" s="239">
        <v>1</v>
      </c>
      <c r="S322" s="240">
        <f t="shared" si="63"/>
        <v>1</v>
      </c>
      <c r="T322" s="216" t="s">
        <v>48</v>
      </c>
      <c r="U322" s="196" t="str">
        <f t="shared" si="61"/>
        <v>1 Hrs</v>
      </c>
    </row>
    <row r="323" spans="3:21" s="185" customFormat="1" ht="20.25" customHeight="1">
      <c r="C323" s="198">
        <f>D323</f>
        <v>323</v>
      </c>
      <c r="D323" s="203">
        <f t="shared" ref="D323:D386" si="68">D322+1</f>
        <v>323</v>
      </c>
      <c r="E323" s="209" t="s">
        <v>319</v>
      </c>
      <c r="F323" s="210">
        <f>D318</f>
        <v>318</v>
      </c>
      <c r="G323" s="206"/>
      <c r="H323" s="206"/>
      <c r="I323" s="208"/>
      <c r="J323" s="208"/>
      <c r="K323" s="234"/>
      <c r="L323" s="208"/>
      <c r="M323" s="217"/>
      <c r="N323" s="208"/>
      <c r="O323" s="218"/>
      <c r="P323" s="208"/>
      <c r="Q323" s="240"/>
      <c r="R323" s="239"/>
      <c r="S323" s="240"/>
      <c r="T323" s="216"/>
      <c r="U323" s="196"/>
    </row>
    <row r="324" spans="3:21" s="185" customFormat="1" ht="20.25" customHeight="1">
      <c r="C324" s="198"/>
      <c r="D324" s="203">
        <f t="shared" si="68"/>
        <v>324</v>
      </c>
      <c r="E324" s="207" t="s">
        <v>320</v>
      </c>
      <c r="F324" s="211"/>
      <c r="G324" s="206" t="s">
        <v>299</v>
      </c>
      <c r="H324" s="206"/>
      <c r="I324" s="224">
        <v>18</v>
      </c>
      <c r="J324" s="211" t="str">
        <f>J321</f>
        <v>625 mm id</v>
      </c>
      <c r="K324" s="234">
        <v>1</v>
      </c>
      <c r="L324" s="208" t="s">
        <v>81</v>
      </c>
      <c r="M324" s="227">
        <f t="shared" ref="M324:M325" si="69">LEFT(J324,SEARCH(" ",J324,1)-1)*3.142*K324*0.001</f>
        <v>1.9637500000000001</v>
      </c>
      <c r="N324" s="208" t="s">
        <v>139</v>
      </c>
      <c r="O324" s="246">
        <f>VLOOKUP(I324,BM!$A$2:$X$104,10,FALSE)</f>
        <v>1</v>
      </c>
      <c r="P324" s="208" t="s">
        <v>112</v>
      </c>
      <c r="Q324" s="240">
        <f t="shared" si="60"/>
        <v>1.9637500000000001</v>
      </c>
      <c r="R324" s="239">
        <v>1</v>
      </c>
      <c r="S324" s="240">
        <f t="shared" si="63"/>
        <v>2.96</v>
      </c>
      <c r="T324" s="216" t="s">
        <v>48</v>
      </c>
      <c r="U324" s="196" t="str">
        <f t="shared" si="61"/>
        <v>2.96 Hrs</v>
      </c>
    </row>
    <row r="325" spans="3:21" s="185" customFormat="1" ht="20.25" customHeight="1">
      <c r="C325" s="198"/>
      <c r="D325" s="203">
        <f t="shared" si="68"/>
        <v>325</v>
      </c>
      <c r="E325" s="207" t="s">
        <v>321</v>
      </c>
      <c r="F325" s="211">
        <f t="shared" si="62"/>
        <v>324</v>
      </c>
      <c r="G325" s="206" t="s">
        <v>44</v>
      </c>
      <c r="H325" s="206"/>
      <c r="I325" s="224">
        <v>18</v>
      </c>
      <c r="J325" s="211" t="str">
        <f t="shared" ref="J325" si="70">J324</f>
        <v>625 mm id</v>
      </c>
      <c r="K325" s="234">
        <v>1</v>
      </c>
      <c r="L325" s="208" t="s">
        <v>81</v>
      </c>
      <c r="M325" s="227">
        <f t="shared" si="69"/>
        <v>1.9637500000000001</v>
      </c>
      <c r="N325" s="208" t="s">
        <v>139</v>
      </c>
      <c r="O325" s="218">
        <v>1</v>
      </c>
      <c r="P325" s="208" t="s">
        <v>112</v>
      </c>
      <c r="Q325" s="240">
        <f t="shared" si="60"/>
        <v>1.9637500000000001</v>
      </c>
      <c r="R325" s="239">
        <v>1</v>
      </c>
      <c r="S325" s="240">
        <f t="shared" si="63"/>
        <v>2.96</v>
      </c>
      <c r="T325" s="216" t="s">
        <v>48</v>
      </c>
      <c r="U325" s="196" t="str">
        <f t="shared" si="61"/>
        <v>2.96 Hrs</v>
      </c>
    </row>
    <row r="326" spans="3:21" s="185" customFormat="1" ht="20.25" customHeight="1">
      <c r="C326" s="198">
        <f>D326</f>
        <v>326</v>
      </c>
      <c r="D326" s="203">
        <f t="shared" si="68"/>
        <v>326</v>
      </c>
      <c r="E326" s="209" t="s">
        <v>322</v>
      </c>
      <c r="F326" s="210">
        <f>D323</f>
        <v>323</v>
      </c>
      <c r="G326" s="206"/>
      <c r="H326" s="206"/>
      <c r="I326" s="208"/>
      <c r="J326" s="208"/>
      <c r="K326" s="234"/>
      <c r="L326" s="208"/>
      <c r="M326" s="217"/>
      <c r="N326" s="208"/>
      <c r="O326" s="218"/>
      <c r="P326" s="208"/>
      <c r="Q326" s="240"/>
      <c r="R326" s="239"/>
      <c r="S326" s="240"/>
      <c r="T326" s="216"/>
      <c r="U326" s="196"/>
    </row>
    <row r="327" spans="3:21" s="185" customFormat="1" ht="20.25" customHeight="1">
      <c r="C327" s="198"/>
      <c r="D327" s="203">
        <f t="shared" si="68"/>
        <v>327</v>
      </c>
      <c r="E327" s="207" t="s">
        <v>323</v>
      </c>
      <c r="F327" s="211"/>
      <c r="G327" s="206" t="s">
        <v>44</v>
      </c>
      <c r="H327" s="206"/>
      <c r="I327" s="224">
        <v>18</v>
      </c>
      <c r="J327" s="208" t="str">
        <f>J325</f>
        <v>625 mm id</v>
      </c>
      <c r="K327" s="234">
        <v>1</v>
      </c>
      <c r="L327" s="208" t="s">
        <v>81</v>
      </c>
      <c r="M327" s="217">
        <v>1</v>
      </c>
      <c r="N327" s="208" t="s">
        <v>81</v>
      </c>
      <c r="O327" s="218">
        <v>1</v>
      </c>
      <c r="P327" s="208" t="s">
        <v>112</v>
      </c>
      <c r="Q327" s="240">
        <f t="shared" si="60"/>
        <v>1</v>
      </c>
      <c r="R327" s="239">
        <v>1</v>
      </c>
      <c r="S327" s="240">
        <f t="shared" si="63"/>
        <v>2</v>
      </c>
      <c r="T327" s="216" t="s">
        <v>48</v>
      </c>
      <c r="U327" s="196" t="str">
        <f t="shared" si="61"/>
        <v>2 Hrs</v>
      </c>
    </row>
    <row r="328" spans="3:21" s="185" customFormat="1" ht="20.25" customHeight="1">
      <c r="C328" s="198"/>
      <c r="D328" s="203">
        <f t="shared" si="68"/>
        <v>328</v>
      </c>
      <c r="E328" s="207" t="s">
        <v>324</v>
      </c>
      <c r="F328" s="211">
        <f t="shared" si="62"/>
        <v>327</v>
      </c>
      <c r="G328" s="206" t="s">
        <v>115</v>
      </c>
      <c r="H328" s="206"/>
      <c r="I328" s="233">
        <f>12</f>
        <v>12</v>
      </c>
      <c r="J328" s="208" t="str">
        <f>J327</f>
        <v>625 mm id</v>
      </c>
      <c r="K328" s="234">
        <v>1</v>
      </c>
      <c r="L328" s="208" t="s">
        <v>81</v>
      </c>
      <c r="M328" s="227">
        <f t="shared" ref="M328:M331" si="71">LEFT(J328,SEARCH(" ",J328,1)-1)*3.142*K328*0.001</f>
        <v>1.9637500000000001</v>
      </c>
      <c r="N328" s="208" t="s">
        <v>139</v>
      </c>
      <c r="O328" s="246">
        <f>VLOOKUP(I328,BM!$A$2:$X$104,17,FALSE)</f>
        <v>2.5</v>
      </c>
      <c r="P328" s="208" t="s">
        <v>112</v>
      </c>
      <c r="Q328" s="240">
        <f t="shared" si="60"/>
        <v>4.9093750000000007</v>
      </c>
      <c r="R328" s="239">
        <v>1</v>
      </c>
      <c r="S328" s="240">
        <f t="shared" si="63"/>
        <v>5.91</v>
      </c>
      <c r="T328" s="216" t="s">
        <v>48</v>
      </c>
      <c r="U328" s="196" t="str">
        <f t="shared" si="61"/>
        <v>5.91 Hrs</v>
      </c>
    </row>
    <row r="329" spans="3:21" s="185" customFormat="1" ht="20.25" customHeight="1">
      <c r="C329" s="198"/>
      <c r="D329" s="203">
        <f t="shared" si="68"/>
        <v>329</v>
      </c>
      <c r="E329" s="207" t="s">
        <v>325</v>
      </c>
      <c r="F329" s="211">
        <f t="shared" si="62"/>
        <v>328</v>
      </c>
      <c r="G329" s="206" t="s">
        <v>61</v>
      </c>
      <c r="H329" s="206"/>
      <c r="I329" s="233">
        <f>18</f>
        <v>18</v>
      </c>
      <c r="J329" s="208" t="str">
        <f>J328</f>
        <v>625 mm id</v>
      </c>
      <c r="K329" s="234">
        <v>1</v>
      </c>
      <c r="L329" s="208" t="s">
        <v>81</v>
      </c>
      <c r="M329" s="227">
        <f t="shared" si="71"/>
        <v>1.9637500000000001</v>
      </c>
      <c r="N329" s="208" t="s">
        <v>139</v>
      </c>
      <c r="O329" s="246">
        <f>VLOOKUP(I329,BM!$A$2:$X$104,18,FALSE)</f>
        <v>1</v>
      </c>
      <c r="P329" s="208" t="s">
        <v>112</v>
      </c>
      <c r="Q329" s="240">
        <f t="shared" si="60"/>
        <v>1.9637500000000001</v>
      </c>
      <c r="R329" s="239">
        <v>1</v>
      </c>
      <c r="S329" s="240">
        <f t="shared" si="63"/>
        <v>2.96</v>
      </c>
      <c r="T329" s="216" t="s">
        <v>48</v>
      </c>
      <c r="U329" s="196" t="str">
        <f t="shared" si="61"/>
        <v>2.96 Hrs</v>
      </c>
    </row>
    <row r="330" spans="3:21" s="185" customFormat="1" ht="20.25" customHeight="1">
      <c r="C330" s="198"/>
      <c r="D330" s="203">
        <f t="shared" si="68"/>
        <v>330</v>
      </c>
      <c r="E330" s="207" t="s">
        <v>326</v>
      </c>
      <c r="F330" s="211">
        <f t="shared" si="62"/>
        <v>329</v>
      </c>
      <c r="G330" s="206" t="s">
        <v>115</v>
      </c>
      <c r="H330" s="206"/>
      <c r="I330" s="224">
        <v>6</v>
      </c>
      <c r="J330" s="208" t="str">
        <f>J329</f>
        <v>625 mm id</v>
      </c>
      <c r="K330" s="234">
        <v>1</v>
      </c>
      <c r="L330" s="208" t="s">
        <v>81</v>
      </c>
      <c r="M330" s="227">
        <f t="shared" si="71"/>
        <v>1.9637500000000001</v>
      </c>
      <c r="N330" s="208" t="s">
        <v>139</v>
      </c>
      <c r="O330" s="246">
        <f>VLOOKUP(I330,BM!$A$2:$X$104,17,FALSE)</f>
        <v>0.9</v>
      </c>
      <c r="P330" s="208" t="s">
        <v>112</v>
      </c>
      <c r="Q330" s="240">
        <f t="shared" si="60"/>
        <v>1.7673750000000001</v>
      </c>
      <c r="R330" s="239">
        <v>1</v>
      </c>
      <c r="S330" s="240">
        <f t="shared" si="63"/>
        <v>2.77</v>
      </c>
      <c r="T330" s="216" t="s">
        <v>48</v>
      </c>
      <c r="U330" s="196" t="str">
        <f t="shared" si="61"/>
        <v>2.77 Hrs</v>
      </c>
    </row>
    <row r="331" spans="3:21" s="185" customFormat="1" ht="20.25" customHeight="1">
      <c r="C331" s="198"/>
      <c r="D331" s="203">
        <f t="shared" si="68"/>
        <v>331</v>
      </c>
      <c r="E331" s="207" t="s">
        <v>327</v>
      </c>
      <c r="F331" s="211">
        <f t="shared" si="62"/>
        <v>330</v>
      </c>
      <c r="G331" s="206" t="s">
        <v>61</v>
      </c>
      <c r="H331" s="206"/>
      <c r="I331" s="224">
        <v>18</v>
      </c>
      <c r="J331" s="208" t="str">
        <f>J330</f>
        <v>625 mm id</v>
      </c>
      <c r="K331" s="234">
        <v>1</v>
      </c>
      <c r="L331" s="208" t="s">
        <v>81</v>
      </c>
      <c r="M331" s="227">
        <f t="shared" si="71"/>
        <v>1.9637500000000001</v>
      </c>
      <c r="N331" s="208" t="s">
        <v>139</v>
      </c>
      <c r="O331" s="246">
        <f>VLOOKUP(I331,BM!$A$2:$X$104,20,FALSE)</f>
        <v>0.5</v>
      </c>
      <c r="P331" s="208" t="s">
        <v>112</v>
      </c>
      <c r="Q331" s="240">
        <f t="shared" si="60"/>
        <v>0.98187500000000005</v>
      </c>
      <c r="R331" s="239">
        <v>1</v>
      </c>
      <c r="S331" s="240">
        <f t="shared" si="63"/>
        <v>1.98</v>
      </c>
      <c r="T331" s="216" t="s">
        <v>48</v>
      </c>
      <c r="U331" s="196" t="str">
        <f t="shared" si="61"/>
        <v>1.98 Hrs</v>
      </c>
    </row>
    <row r="332" spans="3:21" s="185" customFormat="1" ht="20.25" customHeight="1">
      <c r="C332" s="198">
        <f>D332</f>
        <v>332</v>
      </c>
      <c r="D332" s="203">
        <f t="shared" si="68"/>
        <v>332</v>
      </c>
      <c r="E332" s="209" t="s">
        <v>328</v>
      </c>
      <c r="F332" s="210">
        <f>D326</f>
        <v>326</v>
      </c>
      <c r="G332" s="206"/>
      <c r="H332" s="206"/>
      <c r="I332" s="208"/>
      <c r="J332" s="208"/>
      <c r="K332" s="234"/>
      <c r="L332" s="208"/>
      <c r="M332" s="217"/>
      <c r="N332" s="208"/>
      <c r="O332" s="218"/>
      <c r="P332" s="208"/>
      <c r="Q332" s="240"/>
      <c r="R332" s="239"/>
      <c r="S332" s="240"/>
      <c r="T332" s="216"/>
      <c r="U332" s="196"/>
    </row>
    <row r="333" spans="3:21" s="185" customFormat="1" ht="20.25" customHeight="1">
      <c r="C333" s="198"/>
      <c r="D333" s="203">
        <f t="shared" si="68"/>
        <v>333</v>
      </c>
      <c r="E333" s="207" t="s">
        <v>329</v>
      </c>
      <c r="F333" s="211"/>
      <c r="G333" s="206" t="s">
        <v>299</v>
      </c>
      <c r="H333" s="206"/>
      <c r="I333" s="224">
        <v>18</v>
      </c>
      <c r="J333" s="208" t="str">
        <f>J331</f>
        <v>625 mm id</v>
      </c>
      <c r="K333" s="234">
        <v>1</v>
      </c>
      <c r="L333" s="208" t="s">
        <v>81</v>
      </c>
      <c r="M333" s="227">
        <f t="shared" ref="M333:M334" si="72">LEFT(J333,SEARCH(" ",J333,1)-1)*3.142*K333*0.001</f>
        <v>1.9637500000000001</v>
      </c>
      <c r="N333" s="208" t="s">
        <v>139</v>
      </c>
      <c r="O333" s="246">
        <f>VLOOKUP(I333,BM!$A$2:$X$104,10,FALSE)</f>
        <v>1</v>
      </c>
      <c r="P333" s="208" t="s">
        <v>112</v>
      </c>
      <c r="Q333" s="240">
        <f t="shared" si="60"/>
        <v>1.9637500000000001</v>
      </c>
      <c r="R333" s="239">
        <v>1</v>
      </c>
      <c r="S333" s="240">
        <f t="shared" si="63"/>
        <v>2.96</v>
      </c>
      <c r="T333" s="216" t="s">
        <v>48</v>
      </c>
      <c r="U333" s="196" t="str">
        <f t="shared" si="61"/>
        <v>2.96 Hrs</v>
      </c>
    </row>
    <row r="334" spans="3:21" s="185" customFormat="1" ht="20.25" customHeight="1">
      <c r="C334" s="198"/>
      <c r="D334" s="203">
        <f t="shared" si="68"/>
        <v>334</v>
      </c>
      <c r="E334" s="207" t="s">
        <v>330</v>
      </c>
      <c r="F334" s="211">
        <f t="shared" si="62"/>
        <v>333</v>
      </c>
      <c r="G334" s="206" t="s">
        <v>44</v>
      </c>
      <c r="H334" s="206"/>
      <c r="I334" s="224">
        <v>18</v>
      </c>
      <c r="J334" s="208" t="str">
        <f>J331</f>
        <v>625 mm id</v>
      </c>
      <c r="K334" s="234">
        <v>1</v>
      </c>
      <c r="L334" s="208" t="s">
        <v>81</v>
      </c>
      <c r="M334" s="227">
        <f t="shared" si="72"/>
        <v>1.9637500000000001</v>
      </c>
      <c r="N334" s="208" t="s">
        <v>139</v>
      </c>
      <c r="O334" s="218">
        <v>1</v>
      </c>
      <c r="P334" s="208" t="s">
        <v>112</v>
      </c>
      <c r="Q334" s="240">
        <f t="shared" si="60"/>
        <v>1.9637500000000001</v>
      </c>
      <c r="R334" s="239">
        <v>1</v>
      </c>
      <c r="S334" s="240">
        <f t="shared" si="63"/>
        <v>2.96</v>
      </c>
      <c r="T334" s="216" t="s">
        <v>48</v>
      </c>
      <c r="U334" s="196" t="str">
        <f t="shared" si="61"/>
        <v>2.96 Hrs</v>
      </c>
    </row>
    <row r="335" spans="3:21" s="185" customFormat="1" ht="20.25" customHeight="1">
      <c r="C335" s="198">
        <f>D335</f>
        <v>335</v>
      </c>
      <c r="D335" s="203">
        <f t="shared" si="68"/>
        <v>335</v>
      </c>
      <c r="E335" s="209" t="s">
        <v>331</v>
      </c>
      <c r="F335" s="210">
        <f>D332</f>
        <v>332</v>
      </c>
      <c r="G335" s="206"/>
      <c r="H335" s="206"/>
      <c r="I335" s="208"/>
      <c r="J335" s="208"/>
      <c r="K335" s="234"/>
      <c r="L335" s="208"/>
      <c r="M335" s="217"/>
      <c r="N335" s="208"/>
      <c r="O335" s="218"/>
      <c r="P335" s="208"/>
      <c r="Q335" s="240">
        <f t="shared" si="60"/>
        <v>0</v>
      </c>
      <c r="R335" s="239"/>
      <c r="S335" s="240"/>
      <c r="T335" s="216"/>
      <c r="U335" s="196"/>
    </row>
    <row r="336" spans="3:21" s="185" customFormat="1" ht="20.25" customHeight="1">
      <c r="C336" s="198"/>
      <c r="D336" s="203">
        <f t="shared" si="68"/>
        <v>336</v>
      </c>
      <c r="E336" s="207" t="s">
        <v>332</v>
      </c>
      <c r="F336" s="211"/>
      <c r="G336" s="206" t="s">
        <v>44</v>
      </c>
      <c r="H336" s="206"/>
      <c r="I336" s="224">
        <v>18</v>
      </c>
      <c r="J336" s="208" t="str">
        <f>J331</f>
        <v>625 mm id</v>
      </c>
      <c r="K336" s="234">
        <v>1</v>
      </c>
      <c r="L336" s="208" t="s">
        <v>81</v>
      </c>
      <c r="M336" s="217">
        <v>1</v>
      </c>
      <c r="N336" s="208" t="s">
        <v>139</v>
      </c>
      <c r="O336" s="218">
        <v>1</v>
      </c>
      <c r="P336" s="208" t="s">
        <v>112</v>
      </c>
      <c r="Q336" s="240">
        <f t="shared" si="60"/>
        <v>1</v>
      </c>
      <c r="R336" s="239">
        <v>1</v>
      </c>
      <c r="S336" s="240">
        <f t="shared" si="63"/>
        <v>2</v>
      </c>
      <c r="T336" s="216" t="s">
        <v>48</v>
      </c>
      <c r="U336" s="196" t="str">
        <f t="shared" si="61"/>
        <v>2 Hrs</v>
      </c>
    </row>
    <row r="337" spans="3:21" s="185" customFormat="1" ht="20.25" customHeight="1">
      <c r="C337" s="198"/>
      <c r="D337" s="203">
        <f t="shared" si="68"/>
        <v>337</v>
      </c>
      <c r="E337" s="207" t="s">
        <v>333</v>
      </c>
      <c r="F337" s="211">
        <f t="shared" si="62"/>
        <v>336</v>
      </c>
      <c r="G337" s="206" t="s">
        <v>115</v>
      </c>
      <c r="H337" s="206"/>
      <c r="I337" s="233">
        <f>12</f>
        <v>12</v>
      </c>
      <c r="J337" s="208" t="str">
        <f>J334</f>
        <v>625 mm id</v>
      </c>
      <c r="K337" s="234">
        <v>1</v>
      </c>
      <c r="L337" s="208" t="s">
        <v>81</v>
      </c>
      <c r="M337" s="227">
        <f t="shared" ref="M337:M340" si="73">LEFT(J337,SEARCH(" ",J337,1)-1)*3.142*K337*0.001</f>
        <v>1.9637500000000001</v>
      </c>
      <c r="N337" s="208" t="s">
        <v>139</v>
      </c>
      <c r="O337" s="246">
        <f>VLOOKUP(I337,BM!$A$2:$X$104,17,FALSE)</f>
        <v>2.5</v>
      </c>
      <c r="P337" s="208" t="s">
        <v>112</v>
      </c>
      <c r="Q337" s="240">
        <f t="shared" si="60"/>
        <v>4.9093750000000007</v>
      </c>
      <c r="R337" s="239">
        <v>1</v>
      </c>
      <c r="S337" s="240">
        <f t="shared" si="63"/>
        <v>5.91</v>
      </c>
      <c r="T337" s="216" t="s">
        <v>48</v>
      </c>
      <c r="U337" s="196" t="str">
        <f t="shared" si="61"/>
        <v>5.91 Hrs</v>
      </c>
    </row>
    <row r="338" spans="3:21" s="185" customFormat="1" ht="20.25" customHeight="1">
      <c r="C338" s="198"/>
      <c r="D338" s="203">
        <f t="shared" si="68"/>
        <v>338</v>
      </c>
      <c r="E338" s="207" t="s">
        <v>334</v>
      </c>
      <c r="F338" s="211">
        <f t="shared" si="62"/>
        <v>337</v>
      </c>
      <c r="G338" s="206" t="s">
        <v>61</v>
      </c>
      <c r="H338" s="206"/>
      <c r="I338" s="233">
        <f>18</f>
        <v>18</v>
      </c>
      <c r="J338" s="208" t="str">
        <f>J337</f>
        <v>625 mm id</v>
      </c>
      <c r="K338" s="234">
        <v>1</v>
      </c>
      <c r="L338" s="208" t="s">
        <v>81</v>
      </c>
      <c r="M338" s="227">
        <f t="shared" si="73"/>
        <v>1.9637500000000001</v>
      </c>
      <c r="N338" s="208" t="s">
        <v>139</v>
      </c>
      <c r="O338" s="246">
        <f>VLOOKUP(I338,BM!$A$2:$X$104,18,FALSE)</f>
        <v>1</v>
      </c>
      <c r="P338" s="208" t="s">
        <v>112</v>
      </c>
      <c r="Q338" s="240">
        <f t="shared" si="60"/>
        <v>1.9637500000000001</v>
      </c>
      <c r="R338" s="239">
        <v>1</v>
      </c>
      <c r="S338" s="240">
        <f t="shared" si="63"/>
        <v>2.96</v>
      </c>
      <c r="T338" s="216" t="s">
        <v>48</v>
      </c>
      <c r="U338" s="196" t="str">
        <f t="shared" si="61"/>
        <v>2.96 Hrs</v>
      </c>
    </row>
    <row r="339" spans="3:21" s="185" customFormat="1" ht="20.25" customHeight="1">
      <c r="C339" s="198"/>
      <c r="D339" s="203">
        <f t="shared" si="68"/>
        <v>339</v>
      </c>
      <c r="E339" s="207" t="s">
        <v>335</v>
      </c>
      <c r="F339" s="211">
        <f t="shared" si="62"/>
        <v>338</v>
      </c>
      <c r="G339" s="206" t="s">
        <v>115</v>
      </c>
      <c r="H339" s="206"/>
      <c r="I339" s="224">
        <v>6</v>
      </c>
      <c r="J339" s="208" t="str">
        <f>J338</f>
        <v>625 mm id</v>
      </c>
      <c r="K339" s="234">
        <v>1</v>
      </c>
      <c r="L339" s="208" t="s">
        <v>81</v>
      </c>
      <c r="M339" s="227">
        <f t="shared" si="73"/>
        <v>1.9637500000000001</v>
      </c>
      <c r="N339" s="208" t="s">
        <v>139</v>
      </c>
      <c r="O339" s="246">
        <f>VLOOKUP(I339,BM!$A$2:$X$104,17,FALSE)</f>
        <v>0.9</v>
      </c>
      <c r="P339" s="208" t="s">
        <v>112</v>
      </c>
      <c r="Q339" s="240">
        <f t="shared" si="60"/>
        <v>1.7673750000000001</v>
      </c>
      <c r="R339" s="239">
        <v>1</v>
      </c>
      <c r="S339" s="240">
        <f t="shared" si="63"/>
        <v>2.77</v>
      </c>
      <c r="T339" s="216" t="s">
        <v>48</v>
      </c>
      <c r="U339" s="196" t="str">
        <f t="shared" si="61"/>
        <v>2.77 Hrs</v>
      </c>
    </row>
    <row r="340" spans="3:21" s="185" customFormat="1" ht="20.25" customHeight="1">
      <c r="C340" s="198"/>
      <c r="D340" s="203">
        <f t="shared" si="68"/>
        <v>340</v>
      </c>
      <c r="E340" s="207" t="s">
        <v>336</v>
      </c>
      <c r="F340" s="211">
        <f t="shared" si="62"/>
        <v>339</v>
      </c>
      <c r="G340" s="206" t="s">
        <v>61</v>
      </c>
      <c r="H340" s="206"/>
      <c r="I340" s="224">
        <v>18</v>
      </c>
      <c r="J340" s="208" t="str">
        <f>J339</f>
        <v>625 mm id</v>
      </c>
      <c r="K340" s="234">
        <v>1</v>
      </c>
      <c r="L340" s="208" t="s">
        <v>81</v>
      </c>
      <c r="M340" s="227">
        <f t="shared" si="73"/>
        <v>1.9637500000000001</v>
      </c>
      <c r="N340" s="208" t="s">
        <v>139</v>
      </c>
      <c r="O340" s="246">
        <f>VLOOKUP(I340,BM!$A$2:$X$104,20,FALSE)</f>
        <v>0.5</v>
      </c>
      <c r="P340" s="208" t="s">
        <v>112</v>
      </c>
      <c r="Q340" s="240">
        <f t="shared" si="60"/>
        <v>0.98187500000000005</v>
      </c>
      <c r="R340" s="239">
        <v>1</v>
      </c>
      <c r="S340" s="240">
        <f t="shared" si="63"/>
        <v>1.98</v>
      </c>
      <c r="T340" s="216" t="s">
        <v>48</v>
      </c>
      <c r="U340" s="196" t="str">
        <f t="shared" si="61"/>
        <v>1.98 Hrs</v>
      </c>
    </row>
    <row r="341" spans="3:21" s="185" customFormat="1" ht="20.25" customHeight="1">
      <c r="C341" s="198">
        <f>D341</f>
        <v>341</v>
      </c>
      <c r="D341" s="203">
        <f t="shared" si="68"/>
        <v>341</v>
      </c>
      <c r="E341" s="209" t="s">
        <v>337</v>
      </c>
      <c r="F341" s="210">
        <f>D335</f>
        <v>335</v>
      </c>
      <c r="G341" s="206"/>
      <c r="H341" s="206"/>
      <c r="I341" s="208"/>
      <c r="J341" s="208"/>
      <c r="K341" s="234"/>
      <c r="L341" s="208"/>
      <c r="M341" s="217"/>
      <c r="N341" s="208"/>
      <c r="O341" s="218"/>
      <c r="P341" s="208"/>
      <c r="Q341" s="240"/>
      <c r="R341" s="239"/>
      <c r="S341" s="240"/>
      <c r="T341" s="216"/>
      <c r="U341" s="196"/>
    </row>
    <row r="342" spans="3:21" s="185" customFormat="1" ht="20.25" customHeight="1">
      <c r="C342" s="198"/>
      <c r="D342" s="203">
        <f t="shared" si="68"/>
        <v>342</v>
      </c>
      <c r="E342" s="207" t="s">
        <v>338</v>
      </c>
      <c r="F342" s="211"/>
      <c r="G342" s="206" t="s">
        <v>299</v>
      </c>
      <c r="H342" s="206"/>
      <c r="I342" s="224">
        <v>18</v>
      </c>
      <c r="J342" s="208" t="str">
        <f>J340</f>
        <v>625 mm id</v>
      </c>
      <c r="K342" s="234">
        <v>1</v>
      </c>
      <c r="L342" s="208" t="s">
        <v>81</v>
      </c>
      <c r="M342" s="227">
        <f t="shared" ref="M342:M343" si="74">LEFT(J342,SEARCH(" ",J342,1)-1)*3.142*K342*0.001</f>
        <v>1.9637500000000001</v>
      </c>
      <c r="N342" s="208" t="s">
        <v>139</v>
      </c>
      <c r="O342" s="246">
        <f>VLOOKUP(I342,BM!$A$2:$X$104,10,FALSE)</f>
        <v>1</v>
      </c>
      <c r="P342" s="208" t="s">
        <v>112</v>
      </c>
      <c r="Q342" s="240">
        <f t="shared" si="60"/>
        <v>1.9637500000000001</v>
      </c>
      <c r="R342" s="239">
        <v>1</v>
      </c>
      <c r="S342" s="240">
        <f t="shared" si="63"/>
        <v>2.96</v>
      </c>
      <c r="T342" s="216" t="s">
        <v>48</v>
      </c>
      <c r="U342" s="196" t="str">
        <f t="shared" si="61"/>
        <v>2.96 Hrs</v>
      </c>
    </row>
    <row r="343" spans="3:21" s="185" customFormat="1" ht="20.25" customHeight="1">
      <c r="C343" s="198"/>
      <c r="D343" s="203">
        <f t="shared" si="68"/>
        <v>343</v>
      </c>
      <c r="E343" s="207" t="s">
        <v>339</v>
      </c>
      <c r="F343" s="211">
        <f t="shared" si="62"/>
        <v>342</v>
      </c>
      <c r="G343" s="206" t="s">
        <v>44</v>
      </c>
      <c r="H343" s="206"/>
      <c r="I343" s="224">
        <v>18</v>
      </c>
      <c r="J343" s="208" t="str">
        <f>J340</f>
        <v>625 mm id</v>
      </c>
      <c r="K343" s="234">
        <v>1</v>
      </c>
      <c r="L343" s="208" t="s">
        <v>81</v>
      </c>
      <c r="M343" s="227">
        <f t="shared" si="74"/>
        <v>1.9637500000000001</v>
      </c>
      <c r="N343" s="208" t="s">
        <v>139</v>
      </c>
      <c r="O343" s="218">
        <v>1</v>
      </c>
      <c r="P343" s="208" t="s">
        <v>112</v>
      </c>
      <c r="Q343" s="240">
        <f t="shared" si="60"/>
        <v>1.9637500000000001</v>
      </c>
      <c r="R343" s="239">
        <v>1</v>
      </c>
      <c r="S343" s="240">
        <f t="shared" si="63"/>
        <v>2.96</v>
      </c>
      <c r="T343" s="216" t="s">
        <v>48</v>
      </c>
      <c r="U343" s="196" t="str">
        <f t="shared" si="61"/>
        <v>2.96 Hrs</v>
      </c>
    </row>
    <row r="344" spans="3:21" s="185" customFormat="1" ht="20.25" customHeight="1">
      <c r="C344" s="198">
        <f>D344</f>
        <v>344</v>
      </c>
      <c r="D344" s="203">
        <f t="shared" si="68"/>
        <v>344</v>
      </c>
      <c r="E344" s="209" t="s">
        <v>340</v>
      </c>
      <c r="F344" s="210">
        <f>D341</f>
        <v>341</v>
      </c>
      <c r="G344" s="206"/>
      <c r="H344" s="206"/>
      <c r="I344" s="208"/>
      <c r="J344" s="208"/>
      <c r="K344" s="234"/>
      <c r="L344" s="208"/>
      <c r="M344" s="217"/>
      <c r="N344" s="208"/>
      <c r="O344" s="218"/>
      <c r="P344" s="208"/>
      <c r="Q344" s="240"/>
      <c r="R344" s="239"/>
      <c r="S344" s="240"/>
      <c r="T344" s="216"/>
      <c r="U344" s="196"/>
    </row>
    <row r="345" spans="3:21" s="185" customFormat="1" ht="20.25" customHeight="1">
      <c r="C345" s="198"/>
      <c r="D345" s="203">
        <f t="shared" si="68"/>
        <v>345</v>
      </c>
      <c r="E345" s="207" t="s">
        <v>341</v>
      </c>
      <c r="F345" s="211"/>
      <c r="G345" s="206" t="s">
        <v>44</v>
      </c>
      <c r="H345" s="206"/>
      <c r="I345" s="224">
        <v>18</v>
      </c>
      <c r="J345" s="208" t="str">
        <f>J343</f>
        <v>625 mm id</v>
      </c>
      <c r="K345" s="234">
        <v>1</v>
      </c>
      <c r="L345" s="208" t="s">
        <v>81</v>
      </c>
      <c r="M345" s="217">
        <v>1</v>
      </c>
      <c r="N345" s="208" t="s">
        <v>139</v>
      </c>
      <c r="O345" s="218">
        <v>1</v>
      </c>
      <c r="P345" s="208" t="s">
        <v>112</v>
      </c>
      <c r="Q345" s="240">
        <f t="shared" si="60"/>
        <v>1</v>
      </c>
      <c r="R345" s="239">
        <v>1</v>
      </c>
      <c r="S345" s="240">
        <f t="shared" si="63"/>
        <v>2</v>
      </c>
      <c r="T345" s="216" t="s">
        <v>48</v>
      </c>
      <c r="U345" s="196" t="str">
        <f t="shared" si="61"/>
        <v>2 Hrs</v>
      </c>
    </row>
    <row r="346" spans="3:21" s="185" customFormat="1" ht="20.25" customHeight="1">
      <c r="C346" s="198"/>
      <c r="D346" s="203">
        <f t="shared" si="68"/>
        <v>346</v>
      </c>
      <c r="E346" s="207" t="s">
        <v>342</v>
      </c>
      <c r="F346" s="211">
        <f t="shared" si="62"/>
        <v>345</v>
      </c>
      <c r="G346" s="206" t="s">
        <v>115</v>
      </c>
      <c r="H346" s="206"/>
      <c r="I346" s="233">
        <f>12</f>
        <v>12</v>
      </c>
      <c r="J346" s="208" t="str">
        <f>J345</f>
        <v>625 mm id</v>
      </c>
      <c r="K346" s="234">
        <v>1</v>
      </c>
      <c r="L346" s="208" t="s">
        <v>81</v>
      </c>
      <c r="M346" s="227">
        <f t="shared" ref="M346:M349" si="75">LEFT(J346,SEARCH(" ",J346,1)-1)*3.142*K346*0.001</f>
        <v>1.9637500000000001</v>
      </c>
      <c r="N346" s="208" t="s">
        <v>139</v>
      </c>
      <c r="O346" s="246">
        <f>VLOOKUP(I346,BM!$A$2:$X$104,17,FALSE)</f>
        <v>2.5</v>
      </c>
      <c r="P346" s="208" t="s">
        <v>112</v>
      </c>
      <c r="Q346" s="240">
        <f t="shared" si="60"/>
        <v>4.9093750000000007</v>
      </c>
      <c r="R346" s="239">
        <v>1</v>
      </c>
      <c r="S346" s="240">
        <f t="shared" si="63"/>
        <v>5.91</v>
      </c>
      <c r="T346" s="216" t="s">
        <v>48</v>
      </c>
      <c r="U346" s="196" t="str">
        <f t="shared" si="61"/>
        <v>5.91 Hrs</v>
      </c>
    </row>
    <row r="347" spans="3:21" s="185" customFormat="1" ht="20.25" customHeight="1">
      <c r="C347" s="198"/>
      <c r="D347" s="203">
        <f t="shared" si="68"/>
        <v>347</v>
      </c>
      <c r="E347" s="207" t="s">
        <v>343</v>
      </c>
      <c r="F347" s="211">
        <f t="shared" si="62"/>
        <v>346</v>
      </c>
      <c r="G347" s="206" t="s">
        <v>61</v>
      </c>
      <c r="H347" s="206"/>
      <c r="I347" s="233">
        <f>18</f>
        <v>18</v>
      </c>
      <c r="J347" s="208" t="str">
        <f>J346</f>
        <v>625 mm id</v>
      </c>
      <c r="K347" s="234">
        <v>1</v>
      </c>
      <c r="L347" s="208" t="s">
        <v>81</v>
      </c>
      <c r="M347" s="227">
        <f t="shared" si="75"/>
        <v>1.9637500000000001</v>
      </c>
      <c r="N347" s="208" t="s">
        <v>139</v>
      </c>
      <c r="O347" s="246">
        <f>VLOOKUP(I347,BM!$A$2:$X$104,18,FALSE)</f>
        <v>1</v>
      </c>
      <c r="P347" s="208" t="s">
        <v>112</v>
      </c>
      <c r="Q347" s="240">
        <f t="shared" si="60"/>
        <v>1.9637500000000001</v>
      </c>
      <c r="R347" s="239">
        <v>1</v>
      </c>
      <c r="S347" s="240">
        <f t="shared" si="63"/>
        <v>2.96</v>
      </c>
      <c r="T347" s="216" t="s">
        <v>48</v>
      </c>
      <c r="U347" s="196" t="str">
        <f t="shared" si="61"/>
        <v>2.96 Hrs</v>
      </c>
    </row>
    <row r="348" spans="3:21" s="185" customFormat="1" ht="20.25" customHeight="1">
      <c r="C348" s="198"/>
      <c r="D348" s="203">
        <f t="shared" si="68"/>
        <v>348</v>
      </c>
      <c r="E348" s="207" t="s">
        <v>344</v>
      </c>
      <c r="F348" s="211">
        <f t="shared" si="62"/>
        <v>347</v>
      </c>
      <c r="G348" s="206" t="s">
        <v>115</v>
      </c>
      <c r="H348" s="206"/>
      <c r="I348" s="224">
        <v>6</v>
      </c>
      <c r="J348" s="208" t="str">
        <f>J347</f>
        <v>625 mm id</v>
      </c>
      <c r="K348" s="234">
        <v>1</v>
      </c>
      <c r="L348" s="208" t="s">
        <v>81</v>
      </c>
      <c r="M348" s="227">
        <f t="shared" si="75"/>
        <v>1.9637500000000001</v>
      </c>
      <c r="N348" s="208" t="s">
        <v>139</v>
      </c>
      <c r="O348" s="246">
        <f>VLOOKUP(I348,BM!$A$2:$X$104,17,FALSE)</f>
        <v>0.9</v>
      </c>
      <c r="P348" s="208" t="s">
        <v>112</v>
      </c>
      <c r="Q348" s="240">
        <f t="shared" ref="Q348:Q411" si="76">M348*O348</f>
        <v>1.7673750000000001</v>
      </c>
      <c r="R348" s="239">
        <v>1</v>
      </c>
      <c r="S348" s="240">
        <f t="shared" si="63"/>
        <v>2.77</v>
      </c>
      <c r="T348" s="216" t="s">
        <v>48</v>
      </c>
      <c r="U348" s="196" t="str">
        <f t="shared" ref="U348:U411" si="77">CONCATENATE(S348," ",T348)</f>
        <v>2.77 Hrs</v>
      </c>
    </row>
    <row r="349" spans="3:21" s="185" customFormat="1" ht="20.25" customHeight="1">
      <c r="C349" s="198"/>
      <c r="D349" s="203">
        <f t="shared" si="68"/>
        <v>349</v>
      </c>
      <c r="E349" s="207" t="s">
        <v>345</v>
      </c>
      <c r="F349" s="211">
        <f t="shared" ref="F349:F411" si="78">D348</f>
        <v>348</v>
      </c>
      <c r="G349" s="206" t="s">
        <v>61</v>
      </c>
      <c r="H349" s="206"/>
      <c r="I349" s="224">
        <v>18</v>
      </c>
      <c r="J349" s="208" t="str">
        <f>J348</f>
        <v>625 mm id</v>
      </c>
      <c r="K349" s="234">
        <v>1</v>
      </c>
      <c r="L349" s="208" t="s">
        <v>81</v>
      </c>
      <c r="M349" s="227">
        <f t="shared" si="75"/>
        <v>1.9637500000000001</v>
      </c>
      <c r="N349" s="208" t="s">
        <v>139</v>
      </c>
      <c r="O349" s="246">
        <f>VLOOKUP(I349,BM!$A$2:$X$104,20,FALSE)</f>
        <v>0.5</v>
      </c>
      <c r="P349" s="208" t="s">
        <v>112</v>
      </c>
      <c r="Q349" s="240">
        <f t="shared" si="76"/>
        <v>0.98187500000000005</v>
      </c>
      <c r="R349" s="239">
        <v>1</v>
      </c>
      <c r="S349" s="240">
        <f t="shared" ref="S349:S411" si="79">ROUND(Q349+R349,2)</f>
        <v>1.98</v>
      </c>
      <c r="T349" s="216" t="s">
        <v>48</v>
      </c>
      <c r="U349" s="196" t="str">
        <f t="shared" si="77"/>
        <v>1.98 Hrs</v>
      </c>
    </row>
    <row r="350" spans="3:21" s="185" customFormat="1" ht="20.25" customHeight="1">
      <c r="C350" s="198">
        <f>D350</f>
        <v>350</v>
      </c>
      <c r="D350" s="203">
        <f t="shared" si="68"/>
        <v>350</v>
      </c>
      <c r="E350" s="209" t="s">
        <v>346</v>
      </c>
      <c r="F350" s="210">
        <f>D344</f>
        <v>344</v>
      </c>
      <c r="G350" s="206"/>
      <c r="H350" s="206"/>
      <c r="I350" s="208"/>
      <c r="J350" s="208"/>
      <c r="K350" s="234"/>
      <c r="L350" s="208"/>
      <c r="M350" s="217"/>
      <c r="N350" s="208"/>
      <c r="O350" s="218"/>
      <c r="P350" s="208"/>
      <c r="Q350" s="240"/>
      <c r="R350" s="239"/>
      <c r="S350" s="240"/>
      <c r="T350" s="216"/>
      <c r="U350" s="196"/>
    </row>
    <row r="351" spans="3:21" s="185" customFormat="1" ht="20.25" customHeight="1">
      <c r="C351" s="198"/>
      <c r="D351" s="203">
        <f t="shared" si="68"/>
        <v>351</v>
      </c>
      <c r="E351" s="207" t="s">
        <v>347</v>
      </c>
      <c r="F351" s="211"/>
      <c r="G351" s="206" t="s">
        <v>348</v>
      </c>
      <c r="H351" s="206"/>
      <c r="I351" s="224">
        <v>18</v>
      </c>
      <c r="J351" s="208" t="str">
        <f>J349</f>
        <v>625 mm id</v>
      </c>
      <c r="K351" s="234">
        <v>1</v>
      </c>
      <c r="L351" s="208" t="s">
        <v>39</v>
      </c>
      <c r="M351" s="217">
        <v>1</v>
      </c>
      <c r="N351" s="208" t="s">
        <v>39</v>
      </c>
      <c r="O351" s="218">
        <v>4</v>
      </c>
      <c r="P351" s="208" t="s">
        <v>112</v>
      </c>
      <c r="Q351" s="240">
        <f t="shared" si="76"/>
        <v>4</v>
      </c>
      <c r="R351" s="239">
        <v>1</v>
      </c>
      <c r="S351" s="240">
        <f t="shared" si="79"/>
        <v>5</v>
      </c>
      <c r="T351" s="216" t="s">
        <v>48</v>
      </c>
      <c r="U351" s="196" t="str">
        <f t="shared" si="77"/>
        <v>5 Hrs</v>
      </c>
    </row>
    <row r="352" spans="3:21" s="185" customFormat="1" ht="20.25" customHeight="1">
      <c r="C352" s="198"/>
      <c r="D352" s="203">
        <f t="shared" si="68"/>
        <v>352</v>
      </c>
      <c r="E352" s="207" t="s">
        <v>349</v>
      </c>
      <c r="F352" s="211">
        <f t="shared" si="78"/>
        <v>351</v>
      </c>
      <c r="G352" s="206" t="s">
        <v>52</v>
      </c>
      <c r="H352" s="206"/>
      <c r="I352" s="224">
        <v>18</v>
      </c>
      <c r="J352" s="208" t="str">
        <f>J351</f>
        <v>625 mm id</v>
      </c>
      <c r="K352" s="234">
        <v>1</v>
      </c>
      <c r="L352" s="208" t="s">
        <v>39</v>
      </c>
      <c r="M352" s="227">
        <f t="shared" ref="M352:M356" si="80">LEFT(J352,SEARCH(" ",J352,1)-1)*3.142*K352*0.001</f>
        <v>1.9637500000000001</v>
      </c>
      <c r="N352" s="208" t="s">
        <v>139</v>
      </c>
      <c r="O352" s="246">
        <f>VLOOKUP(I352,BM!$A$2:$X$104,5,FALSE)</f>
        <v>0.5</v>
      </c>
      <c r="P352" s="208" t="s">
        <v>112</v>
      </c>
      <c r="Q352" s="240">
        <f t="shared" si="76"/>
        <v>0.98187500000000005</v>
      </c>
      <c r="R352" s="239">
        <v>1</v>
      </c>
      <c r="S352" s="240">
        <f t="shared" si="79"/>
        <v>1.98</v>
      </c>
      <c r="T352" s="216" t="s">
        <v>48</v>
      </c>
      <c r="U352" s="196" t="str">
        <f t="shared" si="77"/>
        <v>1.98 Hrs</v>
      </c>
    </row>
    <row r="353" spans="3:21" s="185" customFormat="1" ht="20.25" customHeight="1">
      <c r="C353" s="198"/>
      <c r="D353" s="203">
        <f t="shared" si="68"/>
        <v>353</v>
      </c>
      <c r="E353" s="207" t="s">
        <v>350</v>
      </c>
      <c r="F353" s="211">
        <f t="shared" si="78"/>
        <v>352</v>
      </c>
      <c r="G353" s="206" t="s">
        <v>121</v>
      </c>
      <c r="H353" s="206"/>
      <c r="I353" s="224">
        <v>18</v>
      </c>
      <c r="J353" s="208" t="str">
        <f>J352</f>
        <v>625 mm id</v>
      </c>
      <c r="K353" s="234">
        <v>1</v>
      </c>
      <c r="L353" s="208" t="s">
        <v>39</v>
      </c>
      <c r="M353" s="227">
        <f t="shared" si="80"/>
        <v>1.9637500000000001</v>
      </c>
      <c r="N353" s="208" t="s">
        <v>139</v>
      </c>
      <c r="O353" s="246">
        <f>VLOOKUP(I353,BM!$A$2:$X$104,5,FALSE)</f>
        <v>0.5</v>
      </c>
      <c r="P353" s="208" t="s">
        <v>112</v>
      </c>
      <c r="Q353" s="240">
        <f t="shared" si="76"/>
        <v>0.98187500000000005</v>
      </c>
      <c r="R353" s="239">
        <v>1</v>
      </c>
      <c r="S353" s="240">
        <f t="shared" si="79"/>
        <v>1.98</v>
      </c>
      <c r="T353" s="216" t="s">
        <v>48</v>
      </c>
      <c r="U353" s="196" t="str">
        <f t="shared" si="77"/>
        <v>1.98 Hrs</v>
      </c>
    </row>
    <row r="354" spans="3:21" s="185" customFormat="1" ht="20.25" customHeight="1">
      <c r="C354" s="198">
        <f>D354</f>
        <v>354</v>
      </c>
      <c r="D354" s="203">
        <f t="shared" si="68"/>
        <v>354</v>
      </c>
      <c r="E354" s="209" t="s">
        <v>351</v>
      </c>
      <c r="F354" s="210">
        <f>D350</f>
        <v>350</v>
      </c>
      <c r="G354" s="206"/>
      <c r="H354" s="206"/>
      <c r="I354" s="208"/>
      <c r="J354" s="208"/>
      <c r="K354" s="234"/>
      <c r="L354" s="208"/>
      <c r="M354" s="217"/>
      <c r="N354" s="208"/>
      <c r="O354" s="218"/>
      <c r="P354" s="208"/>
      <c r="Q354" s="240"/>
      <c r="R354" s="239"/>
      <c r="S354" s="240"/>
      <c r="T354" s="216"/>
      <c r="U354" s="196"/>
    </row>
    <row r="355" spans="3:21" s="185" customFormat="1" ht="20.25" customHeight="1">
      <c r="C355" s="198"/>
      <c r="D355" s="203">
        <f t="shared" si="68"/>
        <v>355</v>
      </c>
      <c r="E355" s="207" t="s">
        <v>352</v>
      </c>
      <c r="F355" s="211"/>
      <c r="G355" s="206" t="s">
        <v>299</v>
      </c>
      <c r="H355" s="206"/>
      <c r="I355" s="224">
        <v>18</v>
      </c>
      <c r="J355" s="208" t="str">
        <f>J353</f>
        <v>625 mm id</v>
      </c>
      <c r="K355" s="234">
        <v>1</v>
      </c>
      <c r="L355" s="208" t="s">
        <v>81</v>
      </c>
      <c r="M355" s="227">
        <f t="shared" si="80"/>
        <v>1.9637500000000001</v>
      </c>
      <c r="N355" s="208" t="s">
        <v>139</v>
      </c>
      <c r="O355" s="246">
        <f>VLOOKUP(I355,BM!$A$2:$X$104,10,FALSE)</f>
        <v>1</v>
      </c>
      <c r="P355" s="208" t="s">
        <v>112</v>
      </c>
      <c r="Q355" s="240">
        <f t="shared" si="76"/>
        <v>1.9637500000000001</v>
      </c>
      <c r="R355" s="239">
        <v>1</v>
      </c>
      <c r="S355" s="240">
        <f t="shared" si="79"/>
        <v>2.96</v>
      </c>
      <c r="T355" s="216" t="s">
        <v>48</v>
      </c>
      <c r="U355" s="196" t="str">
        <f t="shared" si="77"/>
        <v>2.96 Hrs</v>
      </c>
    </row>
    <row r="356" spans="3:21" s="185" customFormat="1" ht="20.25" customHeight="1">
      <c r="C356" s="198"/>
      <c r="D356" s="203">
        <f t="shared" si="68"/>
        <v>356</v>
      </c>
      <c r="E356" s="207" t="s">
        <v>353</v>
      </c>
      <c r="F356" s="211">
        <f t="shared" si="78"/>
        <v>355</v>
      </c>
      <c r="G356" s="206" t="s">
        <v>44</v>
      </c>
      <c r="H356" s="206"/>
      <c r="I356" s="224">
        <v>18</v>
      </c>
      <c r="J356" s="208" t="str">
        <f>J353</f>
        <v>625 mm id</v>
      </c>
      <c r="K356" s="234">
        <v>1</v>
      </c>
      <c r="L356" s="208" t="s">
        <v>81</v>
      </c>
      <c r="M356" s="227">
        <f t="shared" si="80"/>
        <v>1.9637500000000001</v>
      </c>
      <c r="N356" s="208" t="s">
        <v>139</v>
      </c>
      <c r="O356" s="218">
        <v>1</v>
      </c>
      <c r="P356" s="208" t="s">
        <v>112</v>
      </c>
      <c r="Q356" s="240">
        <f t="shared" si="76"/>
        <v>1.9637500000000001</v>
      </c>
      <c r="R356" s="239">
        <v>1</v>
      </c>
      <c r="S356" s="240">
        <f t="shared" si="79"/>
        <v>2.96</v>
      </c>
      <c r="T356" s="216" t="s">
        <v>48</v>
      </c>
      <c r="U356" s="196" t="str">
        <f t="shared" si="77"/>
        <v>2.96 Hrs</v>
      </c>
    </row>
    <row r="357" spans="3:21" s="185" customFormat="1" ht="20.25" customHeight="1">
      <c r="C357" s="198">
        <f>D357</f>
        <v>357</v>
      </c>
      <c r="D357" s="203">
        <f t="shared" si="68"/>
        <v>357</v>
      </c>
      <c r="E357" s="209" t="s">
        <v>354</v>
      </c>
      <c r="F357" s="210">
        <f>D354</f>
        <v>354</v>
      </c>
      <c r="G357" s="206"/>
      <c r="H357" s="206"/>
      <c r="I357" s="208"/>
      <c r="J357" s="208"/>
      <c r="K357" s="234"/>
      <c r="L357" s="208"/>
      <c r="M357" s="217"/>
      <c r="N357" s="208"/>
      <c r="O357" s="218"/>
      <c r="P357" s="208"/>
      <c r="Q357" s="240"/>
      <c r="R357" s="239"/>
      <c r="S357" s="240"/>
      <c r="T357" s="216"/>
      <c r="U357" s="196"/>
    </row>
    <row r="358" spans="3:21" s="185" customFormat="1" ht="20.25" customHeight="1">
      <c r="C358" s="198"/>
      <c r="D358" s="203">
        <f t="shared" si="68"/>
        <v>358</v>
      </c>
      <c r="E358" s="207" t="s">
        <v>323</v>
      </c>
      <c r="F358" s="211"/>
      <c r="G358" s="206" t="s">
        <v>44</v>
      </c>
      <c r="H358" s="206"/>
      <c r="I358" s="224">
        <v>12</v>
      </c>
      <c r="J358" s="208" t="str">
        <f>J356</f>
        <v>625 mm id</v>
      </c>
      <c r="K358" s="234">
        <v>1</v>
      </c>
      <c r="L358" s="208" t="s">
        <v>81</v>
      </c>
      <c r="M358" s="217">
        <v>1</v>
      </c>
      <c r="N358" s="208" t="s">
        <v>139</v>
      </c>
      <c r="O358" s="218">
        <v>1</v>
      </c>
      <c r="P358" s="208" t="s">
        <v>112</v>
      </c>
      <c r="Q358" s="240">
        <f t="shared" si="76"/>
        <v>1</v>
      </c>
      <c r="R358" s="239">
        <v>1</v>
      </c>
      <c r="S358" s="240">
        <f t="shared" si="79"/>
        <v>2</v>
      </c>
      <c r="T358" s="216" t="s">
        <v>48</v>
      </c>
      <c r="U358" s="196" t="str">
        <f t="shared" si="77"/>
        <v>2 Hrs</v>
      </c>
    </row>
    <row r="359" spans="3:21" s="185" customFormat="1" ht="20.25" customHeight="1">
      <c r="C359" s="198"/>
      <c r="D359" s="203">
        <f t="shared" si="68"/>
        <v>359</v>
      </c>
      <c r="E359" s="207" t="s">
        <v>355</v>
      </c>
      <c r="F359" s="211">
        <f t="shared" si="78"/>
        <v>358</v>
      </c>
      <c r="G359" s="206" t="s">
        <v>115</v>
      </c>
      <c r="H359" s="206"/>
      <c r="I359" s="224">
        <v>12</v>
      </c>
      <c r="J359" s="208" t="str">
        <f>J358</f>
        <v>625 mm id</v>
      </c>
      <c r="K359" s="234">
        <v>1</v>
      </c>
      <c r="L359" s="208" t="s">
        <v>81</v>
      </c>
      <c r="M359" s="227">
        <f t="shared" ref="M359:M365" si="81">LEFT(J359,SEARCH(" ",J359,1)-1)*3.142*K359*0.001</f>
        <v>1.9637500000000001</v>
      </c>
      <c r="N359" s="208" t="s">
        <v>139</v>
      </c>
      <c r="O359" s="246">
        <f>VLOOKUP(I359,BM!$A$2:$X$104,17,FALSE)</f>
        <v>2.5</v>
      </c>
      <c r="P359" s="208" t="s">
        <v>112</v>
      </c>
      <c r="Q359" s="240">
        <f t="shared" si="76"/>
        <v>4.9093750000000007</v>
      </c>
      <c r="R359" s="239">
        <v>1</v>
      </c>
      <c r="S359" s="240">
        <f t="shared" si="79"/>
        <v>5.91</v>
      </c>
      <c r="T359" s="216" t="s">
        <v>48</v>
      </c>
      <c r="U359" s="196" t="str">
        <f t="shared" si="77"/>
        <v>5.91 Hrs</v>
      </c>
    </row>
    <row r="360" spans="3:21" s="185" customFormat="1" ht="20.25" customHeight="1">
      <c r="C360" s="198"/>
      <c r="D360" s="203">
        <f t="shared" si="68"/>
        <v>360</v>
      </c>
      <c r="E360" s="207" t="s">
        <v>356</v>
      </c>
      <c r="F360" s="211">
        <f t="shared" si="78"/>
        <v>359</v>
      </c>
      <c r="G360" s="206" t="s">
        <v>61</v>
      </c>
      <c r="H360" s="206"/>
      <c r="I360" s="224">
        <v>18</v>
      </c>
      <c r="J360" s="208" t="str">
        <f>J359</f>
        <v>625 mm id</v>
      </c>
      <c r="K360" s="234">
        <v>1</v>
      </c>
      <c r="L360" s="208" t="s">
        <v>81</v>
      </c>
      <c r="M360" s="227">
        <f t="shared" si="81"/>
        <v>1.9637500000000001</v>
      </c>
      <c r="N360" s="208" t="s">
        <v>139</v>
      </c>
      <c r="O360" s="246">
        <f>VLOOKUP(I360,BM!$A$2:$X$104,18,FALSE)</f>
        <v>1</v>
      </c>
      <c r="P360" s="208" t="s">
        <v>112</v>
      </c>
      <c r="Q360" s="240">
        <f t="shared" si="76"/>
        <v>1.9637500000000001</v>
      </c>
      <c r="R360" s="239">
        <v>1</v>
      </c>
      <c r="S360" s="240">
        <f t="shared" si="79"/>
        <v>2.96</v>
      </c>
      <c r="T360" s="216" t="s">
        <v>48</v>
      </c>
      <c r="U360" s="196" t="str">
        <f t="shared" si="77"/>
        <v>2.96 Hrs</v>
      </c>
    </row>
    <row r="361" spans="3:21" s="185" customFormat="1" ht="20.25" customHeight="1">
      <c r="C361" s="198"/>
      <c r="D361" s="203">
        <f t="shared" si="68"/>
        <v>361</v>
      </c>
      <c r="E361" s="207" t="s">
        <v>357</v>
      </c>
      <c r="F361" s="211">
        <f t="shared" si="78"/>
        <v>360</v>
      </c>
      <c r="G361" s="206" t="s">
        <v>115</v>
      </c>
      <c r="H361" s="206"/>
      <c r="I361" s="224">
        <v>6</v>
      </c>
      <c r="J361" s="208" t="str">
        <f>J360</f>
        <v>625 mm id</v>
      </c>
      <c r="K361" s="234">
        <v>1</v>
      </c>
      <c r="L361" s="208" t="s">
        <v>81</v>
      </c>
      <c r="M361" s="227">
        <f t="shared" si="81"/>
        <v>1.9637500000000001</v>
      </c>
      <c r="N361" s="208" t="s">
        <v>139</v>
      </c>
      <c r="O361" s="246">
        <f>VLOOKUP(I361,BM!$A$2:$X$104,17,FALSE)</f>
        <v>0.9</v>
      </c>
      <c r="P361" s="208" t="s">
        <v>112</v>
      </c>
      <c r="Q361" s="240">
        <f t="shared" si="76"/>
        <v>1.7673750000000001</v>
      </c>
      <c r="R361" s="239">
        <v>1</v>
      </c>
      <c r="S361" s="240">
        <f t="shared" si="79"/>
        <v>2.77</v>
      </c>
      <c r="T361" s="216" t="s">
        <v>48</v>
      </c>
      <c r="U361" s="196" t="str">
        <f t="shared" si="77"/>
        <v>2.77 Hrs</v>
      </c>
    </row>
    <row r="362" spans="3:21" s="185" customFormat="1" ht="20.25" customHeight="1">
      <c r="C362" s="198"/>
      <c r="D362" s="203">
        <f t="shared" si="68"/>
        <v>362</v>
      </c>
      <c r="E362" s="207" t="s">
        <v>358</v>
      </c>
      <c r="F362" s="211">
        <f t="shared" si="78"/>
        <v>361</v>
      </c>
      <c r="G362" s="206" t="s">
        <v>61</v>
      </c>
      <c r="H362" s="206"/>
      <c r="I362" s="224">
        <v>18</v>
      </c>
      <c r="J362" s="208" t="str">
        <f>J361</f>
        <v>625 mm id</v>
      </c>
      <c r="K362" s="234">
        <v>1</v>
      </c>
      <c r="L362" s="208" t="s">
        <v>81</v>
      </c>
      <c r="M362" s="227">
        <f t="shared" si="81"/>
        <v>1.9637500000000001</v>
      </c>
      <c r="N362" s="208" t="s">
        <v>139</v>
      </c>
      <c r="O362" s="246">
        <f>VLOOKUP(I362,BM!$A$2:$X$104,20,FALSE)</f>
        <v>0.5</v>
      </c>
      <c r="P362" s="208" t="s">
        <v>112</v>
      </c>
      <c r="Q362" s="240">
        <f t="shared" si="76"/>
        <v>0.98187500000000005</v>
      </c>
      <c r="R362" s="239">
        <v>1</v>
      </c>
      <c r="S362" s="240">
        <f t="shared" si="79"/>
        <v>1.98</v>
      </c>
      <c r="T362" s="216" t="s">
        <v>48</v>
      </c>
      <c r="U362" s="196" t="str">
        <f t="shared" si="77"/>
        <v>1.98 Hrs</v>
      </c>
    </row>
    <row r="363" spans="3:21" s="185" customFormat="1" ht="20.25" customHeight="1">
      <c r="C363" s="198">
        <f>D363</f>
        <v>363</v>
      </c>
      <c r="D363" s="203">
        <f t="shared" si="68"/>
        <v>363</v>
      </c>
      <c r="E363" s="209" t="s">
        <v>359</v>
      </c>
      <c r="F363" s="210">
        <f>D357</f>
        <v>357</v>
      </c>
      <c r="G363" s="206"/>
      <c r="H363" s="206"/>
      <c r="I363" s="208"/>
      <c r="J363" s="208"/>
      <c r="K363" s="234"/>
      <c r="L363" s="208"/>
      <c r="M363" s="217"/>
      <c r="N363" s="208"/>
      <c r="O363" s="218"/>
      <c r="P363" s="208"/>
      <c r="Q363" s="240"/>
      <c r="R363" s="239"/>
      <c r="S363" s="240"/>
      <c r="T363" s="216"/>
      <c r="U363" s="196"/>
    </row>
    <row r="364" spans="3:21" s="185" customFormat="1" ht="20.25" customHeight="1">
      <c r="C364" s="198"/>
      <c r="D364" s="203">
        <f t="shared" si="68"/>
        <v>364</v>
      </c>
      <c r="E364" s="207" t="s">
        <v>360</v>
      </c>
      <c r="F364" s="211"/>
      <c r="G364" s="206" t="s">
        <v>299</v>
      </c>
      <c r="H364" s="206"/>
      <c r="I364" s="224">
        <v>18</v>
      </c>
      <c r="J364" s="208" t="str">
        <f>J362</f>
        <v>625 mm id</v>
      </c>
      <c r="K364" s="234">
        <v>1</v>
      </c>
      <c r="L364" s="208" t="s">
        <v>81</v>
      </c>
      <c r="M364" s="227">
        <f t="shared" si="81"/>
        <v>1.9637500000000001</v>
      </c>
      <c r="N364" s="208" t="s">
        <v>139</v>
      </c>
      <c r="O364" s="246">
        <f>VLOOKUP(I364,BM!$A$2:$X$104,10,FALSE)</f>
        <v>1</v>
      </c>
      <c r="P364" s="208" t="s">
        <v>112</v>
      </c>
      <c r="Q364" s="240">
        <f t="shared" si="76"/>
        <v>1.9637500000000001</v>
      </c>
      <c r="R364" s="239">
        <v>1</v>
      </c>
      <c r="S364" s="240">
        <f t="shared" si="79"/>
        <v>2.96</v>
      </c>
      <c r="T364" s="216" t="s">
        <v>48</v>
      </c>
      <c r="U364" s="196" t="str">
        <f t="shared" si="77"/>
        <v>2.96 Hrs</v>
      </c>
    </row>
    <row r="365" spans="3:21" s="185" customFormat="1" ht="20.25" customHeight="1">
      <c r="C365" s="198"/>
      <c r="D365" s="203">
        <f t="shared" si="68"/>
        <v>365</v>
      </c>
      <c r="E365" s="207" t="s">
        <v>361</v>
      </c>
      <c r="F365" s="211">
        <f t="shared" si="78"/>
        <v>364</v>
      </c>
      <c r="G365" s="206" t="s">
        <v>44</v>
      </c>
      <c r="H365" s="206"/>
      <c r="I365" s="224">
        <v>18</v>
      </c>
      <c r="J365" s="208" t="str">
        <f>J364</f>
        <v>625 mm id</v>
      </c>
      <c r="K365" s="234">
        <v>1</v>
      </c>
      <c r="L365" s="208" t="s">
        <v>81</v>
      </c>
      <c r="M365" s="227">
        <f t="shared" si="81"/>
        <v>1.9637500000000001</v>
      </c>
      <c r="N365" s="208" t="s">
        <v>139</v>
      </c>
      <c r="O365" s="218">
        <v>1</v>
      </c>
      <c r="P365" s="208" t="s">
        <v>112</v>
      </c>
      <c r="Q365" s="240">
        <f t="shared" si="76"/>
        <v>1.9637500000000001</v>
      </c>
      <c r="R365" s="239">
        <v>1</v>
      </c>
      <c r="S365" s="240">
        <f t="shared" si="79"/>
        <v>2.96</v>
      </c>
      <c r="T365" s="216" t="s">
        <v>48</v>
      </c>
      <c r="U365" s="196" t="str">
        <f t="shared" si="77"/>
        <v>2.96 Hrs</v>
      </c>
    </row>
    <row r="366" spans="3:21" s="185" customFormat="1" ht="20.25" customHeight="1">
      <c r="C366" s="198">
        <f>D366</f>
        <v>366</v>
      </c>
      <c r="D366" s="203">
        <f t="shared" si="68"/>
        <v>366</v>
      </c>
      <c r="E366" s="209" t="s">
        <v>362</v>
      </c>
      <c r="F366" s="210">
        <f>D363</f>
        <v>363</v>
      </c>
      <c r="G366" s="206"/>
      <c r="H366" s="206"/>
      <c r="I366" s="208"/>
      <c r="J366" s="208"/>
      <c r="K366" s="234"/>
      <c r="L366" s="208"/>
      <c r="M366" s="217"/>
      <c r="N366" s="208"/>
      <c r="O366" s="218"/>
      <c r="P366" s="208"/>
      <c r="Q366" s="240"/>
      <c r="R366" s="239"/>
      <c r="S366" s="240"/>
      <c r="T366" s="216"/>
      <c r="U366" s="196"/>
    </row>
    <row r="367" spans="3:21" s="185" customFormat="1" ht="20.25" customHeight="1">
      <c r="C367" s="198"/>
      <c r="D367" s="203">
        <f t="shared" si="68"/>
        <v>367</v>
      </c>
      <c r="E367" s="207" t="s">
        <v>363</v>
      </c>
      <c r="F367" s="211"/>
      <c r="G367" s="206" t="s">
        <v>44</v>
      </c>
      <c r="H367" s="206"/>
      <c r="I367" s="224">
        <v>12</v>
      </c>
      <c r="J367" s="208" t="str">
        <f>J365</f>
        <v>625 mm id</v>
      </c>
      <c r="K367" s="234">
        <v>1</v>
      </c>
      <c r="L367" s="208" t="s">
        <v>81</v>
      </c>
      <c r="M367" s="217">
        <v>1</v>
      </c>
      <c r="N367" s="208" t="s">
        <v>249</v>
      </c>
      <c r="O367" s="218">
        <v>1</v>
      </c>
      <c r="P367" s="208" t="s">
        <v>112</v>
      </c>
      <c r="Q367" s="240">
        <f t="shared" si="76"/>
        <v>1</v>
      </c>
      <c r="R367" s="239">
        <v>1</v>
      </c>
      <c r="S367" s="240">
        <f t="shared" si="79"/>
        <v>2</v>
      </c>
      <c r="T367" s="216" t="s">
        <v>48</v>
      </c>
      <c r="U367" s="196" t="str">
        <f t="shared" si="77"/>
        <v>2 Hrs</v>
      </c>
    </row>
    <row r="368" spans="3:21" s="185" customFormat="1" ht="20.25" customHeight="1">
      <c r="C368" s="198"/>
      <c r="D368" s="203">
        <f t="shared" si="68"/>
        <v>368</v>
      </c>
      <c r="E368" s="207" t="s">
        <v>364</v>
      </c>
      <c r="F368" s="211">
        <f t="shared" si="78"/>
        <v>367</v>
      </c>
      <c r="G368" s="206" t="s">
        <v>115</v>
      </c>
      <c r="H368" s="206"/>
      <c r="I368" s="224">
        <v>12</v>
      </c>
      <c r="J368" s="208" t="str">
        <f>J367</f>
        <v>625 mm id</v>
      </c>
      <c r="K368" s="234">
        <v>1</v>
      </c>
      <c r="L368" s="208" t="s">
        <v>81</v>
      </c>
      <c r="M368" s="227">
        <f t="shared" ref="M368:M371" si="82">LEFT(J368,SEARCH(" ",J368,1)-1)*3.142*K368*0.001</f>
        <v>1.9637500000000001</v>
      </c>
      <c r="N368" s="208" t="s">
        <v>249</v>
      </c>
      <c r="O368" s="246">
        <f>VLOOKUP(I368,BM!$A$2:$X$104,17,FALSE)</f>
        <v>2.5</v>
      </c>
      <c r="P368" s="208" t="s">
        <v>112</v>
      </c>
      <c r="Q368" s="240">
        <f t="shared" si="76"/>
        <v>4.9093750000000007</v>
      </c>
      <c r="R368" s="239">
        <v>1</v>
      </c>
      <c r="S368" s="240">
        <f t="shared" si="79"/>
        <v>5.91</v>
      </c>
      <c r="T368" s="216" t="s">
        <v>48</v>
      </c>
      <c r="U368" s="196" t="str">
        <f t="shared" si="77"/>
        <v>5.91 Hrs</v>
      </c>
    </row>
    <row r="369" spans="3:21" s="185" customFormat="1" ht="20.25" customHeight="1">
      <c r="C369" s="198"/>
      <c r="D369" s="203">
        <f t="shared" si="68"/>
        <v>369</v>
      </c>
      <c r="E369" s="207" t="s">
        <v>365</v>
      </c>
      <c r="F369" s="211">
        <f t="shared" si="78"/>
        <v>368</v>
      </c>
      <c r="G369" s="206" t="s">
        <v>61</v>
      </c>
      <c r="H369" s="206"/>
      <c r="I369" s="224">
        <v>18</v>
      </c>
      <c r="J369" s="208" t="str">
        <f>J368</f>
        <v>625 mm id</v>
      </c>
      <c r="K369" s="234">
        <v>1</v>
      </c>
      <c r="L369" s="208" t="s">
        <v>81</v>
      </c>
      <c r="M369" s="227">
        <f t="shared" si="82"/>
        <v>1.9637500000000001</v>
      </c>
      <c r="N369" s="208" t="s">
        <v>249</v>
      </c>
      <c r="O369" s="246">
        <f>VLOOKUP(I369,BM!$A$2:$X$104,18,FALSE)</f>
        <v>1</v>
      </c>
      <c r="P369" s="208" t="s">
        <v>112</v>
      </c>
      <c r="Q369" s="240">
        <f t="shared" si="76"/>
        <v>1.9637500000000001</v>
      </c>
      <c r="R369" s="239">
        <v>1</v>
      </c>
      <c r="S369" s="240">
        <f t="shared" si="79"/>
        <v>2.96</v>
      </c>
      <c r="T369" s="216" t="s">
        <v>48</v>
      </c>
      <c r="U369" s="196" t="str">
        <f t="shared" si="77"/>
        <v>2.96 Hrs</v>
      </c>
    </row>
    <row r="370" spans="3:21" s="185" customFormat="1" ht="20.25" customHeight="1">
      <c r="C370" s="198"/>
      <c r="D370" s="203">
        <f t="shared" si="68"/>
        <v>370</v>
      </c>
      <c r="E370" s="207" t="s">
        <v>366</v>
      </c>
      <c r="F370" s="211">
        <f t="shared" si="78"/>
        <v>369</v>
      </c>
      <c r="G370" s="206" t="s">
        <v>115</v>
      </c>
      <c r="H370" s="206"/>
      <c r="I370" s="224">
        <v>6</v>
      </c>
      <c r="J370" s="208" t="str">
        <f>J369</f>
        <v>625 mm id</v>
      </c>
      <c r="K370" s="234">
        <v>1</v>
      </c>
      <c r="L370" s="208" t="s">
        <v>81</v>
      </c>
      <c r="M370" s="227">
        <f t="shared" si="82"/>
        <v>1.9637500000000001</v>
      </c>
      <c r="N370" s="208" t="s">
        <v>249</v>
      </c>
      <c r="O370" s="246">
        <f>VLOOKUP(I370,BM!$A$2:$X$104,17,FALSE)</f>
        <v>0.9</v>
      </c>
      <c r="P370" s="208" t="s">
        <v>112</v>
      </c>
      <c r="Q370" s="240">
        <f t="shared" si="76"/>
        <v>1.7673750000000001</v>
      </c>
      <c r="R370" s="239">
        <v>1</v>
      </c>
      <c r="S370" s="240">
        <f t="shared" si="79"/>
        <v>2.77</v>
      </c>
      <c r="T370" s="216" t="s">
        <v>48</v>
      </c>
      <c r="U370" s="196" t="str">
        <f t="shared" si="77"/>
        <v>2.77 Hrs</v>
      </c>
    </row>
    <row r="371" spans="3:21" s="185" customFormat="1" ht="20.25" customHeight="1">
      <c r="C371" s="198"/>
      <c r="D371" s="203">
        <f t="shared" si="68"/>
        <v>371</v>
      </c>
      <c r="E371" s="207" t="s">
        <v>367</v>
      </c>
      <c r="F371" s="211">
        <f t="shared" si="78"/>
        <v>370</v>
      </c>
      <c r="G371" s="206" t="s">
        <v>61</v>
      </c>
      <c r="H371" s="206"/>
      <c r="I371" s="224">
        <v>18</v>
      </c>
      <c r="J371" s="208" t="str">
        <f>J370</f>
        <v>625 mm id</v>
      </c>
      <c r="K371" s="234">
        <v>1</v>
      </c>
      <c r="L371" s="208" t="s">
        <v>81</v>
      </c>
      <c r="M371" s="227">
        <f t="shared" si="82"/>
        <v>1.9637500000000001</v>
      </c>
      <c r="N371" s="208" t="s">
        <v>249</v>
      </c>
      <c r="O371" s="246">
        <f>VLOOKUP(I371,BM!$A$2:$X$104,20,FALSE)</f>
        <v>0.5</v>
      </c>
      <c r="P371" s="208" t="s">
        <v>112</v>
      </c>
      <c r="Q371" s="240">
        <f t="shared" si="76"/>
        <v>0.98187500000000005</v>
      </c>
      <c r="R371" s="239">
        <v>1</v>
      </c>
      <c r="S371" s="240">
        <f t="shared" si="79"/>
        <v>1.98</v>
      </c>
      <c r="T371" s="216" t="s">
        <v>48</v>
      </c>
      <c r="U371" s="196" t="str">
        <f t="shared" si="77"/>
        <v>1.98 Hrs</v>
      </c>
    </row>
    <row r="372" spans="3:21" s="185" customFormat="1" ht="20.25" customHeight="1">
      <c r="C372" s="198">
        <f>D372</f>
        <v>372</v>
      </c>
      <c r="D372" s="203">
        <f t="shared" si="68"/>
        <v>372</v>
      </c>
      <c r="E372" s="209" t="s">
        <v>368</v>
      </c>
      <c r="F372" s="210">
        <f>D366</f>
        <v>366</v>
      </c>
      <c r="G372" s="206"/>
      <c r="H372" s="206"/>
      <c r="I372" s="208"/>
      <c r="J372" s="208"/>
      <c r="K372" s="234"/>
      <c r="L372" s="208"/>
      <c r="M372" s="217"/>
      <c r="N372" s="208"/>
      <c r="O372" s="218"/>
      <c r="P372" s="208"/>
      <c r="Q372" s="240"/>
      <c r="R372" s="239"/>
      <c r="S372" s="240"/>
      <c r="T372" s="216"/>
      <c r="U372" s="196"/>
    </row>
    <row r="373" spans="3:21" s="185" customFormat="1" ht="20.25" customHeight="1">
      <c r="C373" s="198"/>
      <c r="D373" s="203">
        <f t="shared" si="68"/>
        <v>373</v>
      </c>
      <c r="E373" s="207" t="s">
        <v>369</v>
      </c>
      <c r="F373" s="211"/>
      <c r="G373" s="206" t="s">
        <v>348</v>
      </c>
      <c r="H373" s="206"/>
      <c r="I373" s="224">
        <v>18</v>
      </c>
      <c r="J373" s="208" t="str">
        <f>J371</f>
        <v>625 mm id</v>
      </c>
      <c r="K373" s="234">
        <v>1</v>
      </c>
      <c r="L373" s="208" t="s">
        <v>81</v>
      </c>
      <c r="M373" s="217">
        <v>1</v>
      </c>
      <c r="N373" s="208" t="s">
        <v>81</v>
      </c>
      <c r="O373" s="218">
        <v>4</v>
      </c>
      <c r="P373" s="208" t="s">
        <v>112</v>
      </c>
      <c r="Q373" s="240">
        <f t="shared" si="76"/>
        <v>4</v>
      </c>
      <c r="R373" s="239">
        <v>1</v>
      </c>
      <c r="S373" s="240">
        <f t="shared" si="79"/>
        <v>5</v>
      </c>
      <c r="T373" s="216" t="s">
        <v>48</v>
      </c>
      <c r="U373" s="196" t="str">
        <f t="shared" si="77"/>
        <v>5 Hrs</v>
      </c>
    </row>
    <row r="374" spans="3:21" s="185" customFormat="1" ht="20.25" customHeight="1">
      <c r="C374" s="198"/>
      <c r="D374" s="203">
        <f t="shared" si="68"/>
        <v>374</v>
      </c>
      <c r="E374" s="207" t="s">
        <v>370</v>
      </c>
      <c r="F374" s="211">
        <f t="shared" si="78"/>
        <v>373</v>
      </c>
      <c r="G374" s="206" t="s">
        <v>348</v>
      </c>
      <c r="H374" s="206"/>
      <c r="I374" s="224">
        <v>18</v>
      </c>
      <c r="J374" s="208" t="str">
        <f>J373</f>
        <v>625 mm id</v>
      </c>
      <c r="K374" s="234">
        <v>1</v>
      </c>
      <c r="L374" s="208" t="s">
        <v>81</v>
      </c>
      <c r="M374" s="217">
        <v>1</v>
      </c>
      <c r="N374" s="208" t="s">
        <v>81</v>
      </c>
      <c r="O374" s="218">
        <v>4</v>
      </c>
      <c r="P374" s="208" t="s">
        <v>112</v>
      </c>
      <c r="Q374" s="240">
        <f t="shared" si="76"/>
        <v>4</v>
      </c>
      <c r="R374" s="239">
        <v>1</v>
      </c>
      <c r="S374" s="240">
        <f t="shared" si="79"/>
        <v>5</v>
      </c>
      <c r="T374" s="216" t="s">
        <v>48</v>
      </c>
      <c r="U374" s="196" t="str">
        <f t="shared" si="77"/>
        <v>5 Hrs</v>
      </c>
    </row>
    <row r="375" spans="3:21" s="185" customFormat="1" ht="20.25" customHeight="1">
      <c r="C375" s="198"/>
      <c r="D375" s="203">
        <f t="shared" si="68"/>
        <v>375</v>
      </c>
      <c r="E375" s="207" t="s">
        <v>370</v>
      </c>
      <c r="F375" s="211">
        <f t="shared" si="78"/>
        <v>374</v>
      </c>
      <c r="G375" s="206" t="s">
        <v>348</v>
      </c>
      <c r="H375" s="206"/>
      <c r="I375" s="224">
        <v>18</v>
      </c>
      <c r="J375" s="208" t="str">
        <f>J374</f>
        <v>625 mm id</v>
      </c>
      <c r="K375" s="234">
        <v>1</v>
      </c>
      <c r="L375" s="208" t="s">
        <v>81</v>
      </c>
      <c r="M375" s="217">
        <v>1</v>
      </c>
      <c r="N375" s="208" t="s">
        <v>81</v>
      </c>
      <c r="O375" s="218">
        <v>4</v>
      </c>
      <c r="P375" s="208" t="s">
        <v>112</v>
      </c>
      <c r="Q375" s="240">
        <f t="shared" si="76"/>
        <v>4</v>
      </c>
      <c r="R375" s="239">
        <v>1</v>
      </c>
      <c r="S375" s="240">
        <f t="shared" si="79"/>
        <v>5</v>
      </c>
      <c r="T375" s="216" t="s">
        <v>48</v>
      </c>
      <c r="U375" s="196" t="str">
        <f t="shared" si="77"/>
        <v>5 Hrs</v>
      </c>
    </row>
    <row r="376" spans="3:21" s="185" customFormat="1" ht="20.25" customHeight="1">
      <c r="C376" s="198">
        <f>D376</f>
        <v>376</v>
      </c>
      <c r="D376" s="203">
        <f t="shared" si="68"/>
        <v>376</v>
      </c>
      <c r="E376" s="209" t="s">
        <v>371</v>
      </c>
      <c r="F376" s="210">
        <f>D372</f>
        <v>372</v>
      </c>
      <c r="G376" s="206"/>
      <c r="H376" s="206"/>
      <c r="I376" s="208"/>
      <c r="J376" s="208"/>
      <c r="K376" s="234"/>
      <c r="L376" s="208"/>
      <c r="M376" s="217"/>
      <c r="N376" s="208"/>
      <c r="O376" s="218"/>
      <c r="P376" s="208"/>
      <c r="Q376" s="240"/>
      <c r="R376" s="239"/>
      <c r="S376" s="240"/>
      <c r="T376" s="216"/>
      <c r="U376" s="196"/>
    </row>
    <row r="377" spans="3:21" s="185" customFormat="1" ht="20.25" customHeight="1">
      <c r="C377" s="198"/>
      <c r="D377" s="203">
        <f t="shared" si="68"/>
        <v>377</v>
      </c>
      <c r="E377" s="207" t="s">
        <v>372</v>
      </c>
      <c r="F377" s="211"/>
      <c r="G377" s="206" t="s">
        <v>52</v>
      </c>
      <c r="H377" s="206"/>
      <c r="I377" s="224">
        <v>18</v>
      </c>
      <c r="J377" s="234"/>
      <c r="K377" s="234">
        <v>1</v>
      </c>
      <c r="L377" s="208" t="s">
        <v>39</v>
      </c>
      <c r="M377" s="227" t="e">
        <f t="shared" ref="M377:M378" si="83">LEFT(J377,SEARCH(" ",J377,1)-1)*3.142*K377*0.001</f>
        <v>#VALUE!</v>
      </c>
      <c r="N377" s="208" t="s">
        <v>249</v>
      </c>
      <c r="O377" s="246">
        <f>VLOOKUP(I377,BM!$A$2:$X$104,2,FALSE)</f>
        <v>0.1</v>
      </c>
      <c r="P377" s="208" t="s">
        <v>112</v>
      </c>
      <c r="Q377" s="240" t="e">
        <f t="shared" si="76"/>
        <v>#VALUE!</v>
      </c>
      <c r="R377" s="239">
        <v>1</v>
      </c>
      <c r="S377" s="240" t="e">
        <f t="shared" si="79"/>
        <v>#VALUE!</v>
      </c>
      <c r="T377" s="216" t="s">
        <v>48</v>
      </c>
      <c r="U377" s="196" t="e">
        <f t="shared" si="77"/>
        <v>#VALUE!</v>
      </c>
    </row>
    <row r="378" spans="3:21" s="185" customFormat="1" ht="20.25" customHeight="1">
      <c r="C378" s="198"/>
      <c r="D378" s="203">
        <f t="shared" si="68"/>
        <v>378</v>
      </c>
      <c r="E378" s="207" t="s">
        <v>372</v>
      </c>
      <c r="F378" s="211">
        <f t="shared" si="78"/>
        <v>377</v>
      </c>
      <c r="G378" s="206" t="s">
        <v>52</v>
      </c>
      <c r="H378" s="206"/>
      <c r="I378" s="224">
        <v>18</v>
      </c>
      <c r="J378" s="208">
        <f>J377</f>
        <v>0</v>
      </c>
      <c r="K378" s="234">
        <v>1</v>
      </c>
      <c r="L378" s="208" t="s">
        <v>39</v>
      </c>
      <c r="M378" s="227" t="e">
        <f t="shared" si="83"/>
        <v>#VALUE!</v>
      </c>
      <c r="N378" s="208" t="s">
        <v>249</v>
      </c>
      <c r="O378" s="246">
        <f>VLOOKUP(I378,BM!$A$2:$X$104,2,FALSE)</f>
        <v>0.1</v>
      </c>
      <c r="P378" s="208" t="s">
        <v>112</v>
      </c>
      <c r="Q378" s="240" t="e">
        <f t="shared" si="76"/>
        <v>#VALUE!</v>
      </c>
      <c r="R378" s="239">
        <v>1</v>
      </c>
      <c r="S378" s="240" t="e">
        <f t="shared" si="79"/>
        <v>#VALUE!</v>
      </c>
      <c r="T378" s="216" t="s">
        <v>48</v>
      </c>
      <c r="U378" s="196" t="e">
        <f t="shared" si="77"/>
        <v>#VALUE!</v>
      </c>
    </row>
    <row r="379" spans="3:21" s="185" customFormat="1" ht="20.25" customHeight="1">
      <c r="C379" s="198">
        <f t="shared" ref="C379:C380" si="84">D379</f>
        <v>379</v>
      </c>
      <c r="D379" s="203">
        <f t="shared" si="68"/>
        <v>379</v>
      </c>
      <c r="E379" s="207" t="s">
        <v>109</v>
      </c>
      <c r="F379" s="211">
        <f>D376</f>
        <v>376</v>
      </c>
      <c r="G379" s="206" t="s">
        <v>52</v>
      </c>
      <c r="H379" s="206"/>
      <c r="I379" s="208"/>
      <c r="J379" s="208"/>
      <c r="K379" s="234">
        <v>2</v>
      </c>
      <c r="L379" s="208" t="s">
        <v>81</v>
      </c>
      <c r="M379" s="217">
        <v>2</v>
      </c>
      <c r="N379" s="208" t="s">
        <v>81</v>
      </c>
      <c r="O379" s="218">
        <v>0.5</v>
      </c>
      <c r="P379" s="208" t="s">
        <v>112</v>
      </c>
      <c r="Q379" s="240">
        <f t="shared" si="76"/>
        <v>1</v>
      </c>
      <c r="R379" s="239">
        <v>1</v>
      </c>
      <c r="S379" s="240">
        <f t="shared" si="79"/>
        <v>2</v>
      </c>
      <c r="T379" s="216" t="s">
        <v>48</v>
      </c>
      <c r="U379" s="196" t="str">
        <f t="shared" si="77"/>
        <v>2 Hrs</v>
      </c>
    </row>
    <row r="380" spans="3:21" s="185" customFormat="1" ht="20.25" customHeight="1">
      <c r="C380" s="198">
        <f t="shared" si="84"/>
        <v>380</v>
      </c>
      <c r="D380" s="203">
        <f t="shared" si="68"/>
        <v>380</v>
      </c>
      <c r="E380" s="209" t="s">
        <v>374</v>
      </c>
      <c r="F380" s="210">
        <f>D379</f>
        <v>379</v>
      </c>
      <c r="G380" s="206"/>
      <c r="H380" s="206"/>
      <c r="I380" s="208"/>
      <c r="J380" s="208"/>
      <c r="K380" s="234"/>
      <c r="L380" s="208"/>
      <c r="M380" s="217"/>
      <c r="N380" s="208"/>
      <c r="O380" s="218"/>
      <c r="P380" s="208"/>
      <c r="Q380" s="240"/>
      <c r="R380" s="239"/>
      <c r="S380" s="240"/>
      <c r="T380" s="216"/>
      <c r="U380" s="196"/>
    </row>
    <row r="381" spans="3:21" s="185" customFormat="1" ht="20.25" customHeight="1">
      <c r="C381" s="198"/>
      <c r="D381" s="203">
        <f t="shared" si="68"/>
        <v>381</v>
      </c>
      <c r="E381" s="207" t="s">
        <v>372</v>
      </c>
      <c r="F381" s="211"/>
      <c r="G381" s="206" t="s">
        <v>61</v>
      </c>
      <c r="H381" s="206"/>
      <c r="I381" s="224">
        <v>18</v>
      </c>
      <c r="J381" s="208">
        <f>J378</f>
        <v>0</v>
      </c>
      <c r="K381" s="234">
        <v>1</v>
      </c>
      <c r="L381" s="208" t="s">
        <v>39</v>
      </c>
      <c r="M381" s="227" t="e">
        <f t="shared" ref="M381:M382" si="85">LEFT(J381,SEARCH(" ",J381,1)-1)*3.142*K381*0.001</f>
        <v>#VALUE!</v>
      </c>
      <c r="N381" s="208" t="s">
        <v>249</v>
      </c>
      <c r="O381" s="246">
        <f>VLOOKUP(I381,BM!$A$2:$X$104,6,FALSE)</f>
        <v>1</v>
      </c>
      <c r="P381" s="208" t="s">
        <v>112</v>
      </c>
      <c r="Q381" s="240" t="e">
        <f t="shared" si="76"/>
        <v>#VALUE!</v>
      </c>
      <c r="R381" s="239">
        <v>1</v>
      </c>
      <c r="S381" s="240" t="e">
        <f t="shared" si="79"/>
        <v>#VALUE!</v>
      </c>
      <c r="T381" s="216" t="s">
        <v>48</v>
      </c>
      <c r="U381" s="196" t="e">
        <f t="shared" si="77"/>
        <v>#VALUE!</v>
      </c>
    </row>
    <row r="382" spans="3:21" s="185" customFormat="1" ht="20.25" customHeight="1">
      <c r="C382" s="198"/>
      <c r="D382" s="203">
        <f t="shared" si="68"/>
        <v>382</v>
      </c>
      <c r="E382" s="207" t="s">
        <v>372</v>
      </c>
      <c r="F382" s="211">
        <f t="shared" si="78"/>
        <v>381</v>
      </c>
      <c r="G382" s="206" t="s">
        <v>61</v>
      </c>
      <c r="H382" s="206"/>
      <c r="I382" s="224">
        <v>18</v>
      </c>
      <c r="J382" s="208">
        <f>J381</f>
        <v>0</v>
      </c>
      <c r="K382" s="234">
        <v>1</v>
      </c>
      <c r="L382" s="208" t="s">
        <v>39</v>
      </c>
      <c r="M382" s="227" t="e">
        <f t="shared" si="85"/>
        <v>#VALUE!</v>
      </c>
      <c r="N382" s="208" t="s">
        <v>249</v>
      </c>
      <c r="O382" s="246">
        <f>VLOOKUP(I382,BM!$A$2:$X$104,6,FALSE)</f>
        <v>1</v>
      </c>
      <c r="P382" s="208" t="s">
        <v>112</v>
      </c>
      <c r="Q382" s="240" t="e">
        <f t="shared" si="76"/>
        <v>#VALUE!</v>
      </c>
      <c r="R382" s="239">
        <v>1</v>
      </c>
      <c r="S382" s="240" t="e">
        <f t="shared" si="79"/>
        <v>#VALUE!</v>
      </c>
      <c r="T382" s="216" t="s">
        <v>48</v>
      </c>
      <c r="U382" s="196" t="e">
        <f t="shared" si="77"/>
        <v>#VALUE!</v>
      </c>
    </row>
    <row r="383" spans="3:21" s="185" customFormat="1" ht="20.25" customHeight="1">
      <c r="C383" s="198"/>
      <c r="D383" s="203">
        <f t="shared" si="68"/>
        <v>383</v>
      </c>
      <c r="E383" s="207" t="s">
        <v>109</v>
      </c>
      <c r="F383" s="211">
        <f t="shared" si="78"/>
        <v>382</v>
      </c>
      <c r="G383" s="206"/>
      <c r="H383" s="206"/>
      <c r="I383" s="208"/>
      <c r="J383" s="208"/>
      <c r="K383" s="234">
        <v>1</v>
      </c>
      <c r="L383" s="208" t="s">
        <v>39</v>
      </c>
      <c r="M383" s="217">
        <v>2</v>
      </c>
      <c r="N383" s="208" t="s">
        <v>81</v>
      </c>
      <c r="O383" s="218">
        <v>0.5</v>
      </c>
      <c r="P383" s="208" t="s">
        <v>112</v>
      </c>
      <c r="Q383" s="240">
        <f t="shared" si="76"/>
        <v>1</v>
      </c>
      <c r="R383" s="239">
        <v>1</v>
      </c>
      <c r="S383" s="240">
        <f t="shared" si="79"/>
        <v>2</v>
      </c>
      <c r="T383" s="216" t="s">
        <v>48</v>
      </c>
      <c r="U383" s="196" t="str">
        <f t="shared" si="77"/>
        <v>2 Hrs</v>
      </c>
    </row>
    <row r="384" spans="3:21" s="185" customFormat="1" ht="20.25" customHeight="1">
      <c r="C384" s="198">
        <f>D384</f>
        <v>384</v>
      </c>
      <c r="D384" s="203">
        <f t="shared" si="68"/>
        <v>384</v>
      </c>
      <c r="E384" s="209" t="s">
        <v>375</v>
      </c>
      <c r="F384" s="210">
        <f>D380</f>
        <v>380</v>
      </c>
      <c r="G384" s="206"/>
      <c r="H384" s="206"/>
      <c r="I384" s="208"/>
      <c r="J384" s="208"/>
      <c r="K384" s="234"/>
      <c r="L384" s="208"/>
      <c r="M384" s="217"/>
      <c r="N384" s="208"/>
      <c r="O384" s="218"/>
      <c r="P384" s="208"/>
      <c r="Q384" s="240"/>
      <c r="R384" s="239"/>
      <c r="S384" s="240"/>
      <c r="T384" s="216"/>
      <c r="U384" s="196"/>
    </row>
    <row r="385" spans="3:21" s="185" customFormat="1" ht="20.25" customHeight="1">
      <c r="C385" s="198"/>
      <c r="D385" s="203">
        <f t="shared" si="68"/>
        <v>385</v>
      </c>
      <c r="E385" s="207" t="s">
        <v>372</v>
      </c>
      <c r="F385" s="211"/>
      <c r="G385" s="206" t="s">
        <v>299</v>
      </c>
      <c r="H385" s="206"/>
      <c r="I385" s="208"/>
      <c r="J385" s="234"/>
      <c r="K385" s="234">
        <v>1</v>
      </c>
      <c r="L385" s="208" t="s">
        <v>39</v>
      </c>
      <c r="M385" s="217">
        <v>1</v>
      </c>
      <c r="N385" s="208" t="s">
        <v>249</v>
      </c>
      <c r="O385" s="246" t="e">
        <f>VLOOKUP(J385,BM!$A$2:$X$104,11,FALSE)</f>
        <v>#N/A</v>
      </c>
      <c r="P385" s="208" t="s">
        <v>112</v>
      </c>
      <c r="Q385" s="240" t="e">
        <f t="shared" si="76"/>
        <v>#N/A</v>
      </c>
      <c r="R385" s="239">
        <v>1</v>
      </c>
      <c r="S385" s="240" t="e">
        <f t="shared" si="79"/>
        <v>#N/A</v>
      </c>
      <c r="T385" s="216" t="s">
        <v>48</v>
      </c>
      <c r="U385" s="196" t="e">
        <f t="shared" si="77"/>
        <v>#N/A</v>
      </c>
    </row>
    <row r="386" spans="3:21" s="185" customFormat="1" ht="20.25" customHeight="1">
      <c r="C386" s="198"/>
      <c r="D386" s="203">
        <f t="shared" si="68"/>
        <v>386</v>
      </c>
      <c r="E386" s="207" t="s">
        <v>372</v>
      </c>
      <c r="F386" s="211">
        <f t="shared" si="78"/>
        <v>385</v>
      </c>
      <c r="G386" s="206" t="s">
        <v>299</v>
      </c>
      <c r="H386" s="206"/>
      <c r="I386" s="208"/>
      <c r="J386" s="234"/>
      <c r="K386" s="234">
        <v>1</v>
      </c>
      <c r="L386" s="208" t="s">
        <v>39</v>
      </c>
      <c r="M386" s="217">
        <v>1</v>
      </c>
      <c r="N386" s="208" t="s">
        <v>249</v>
      </c>
      <c r="O386" s="246" t="e">
        <f>VLOOKUP(J386,BM!$A$2:$X$104,11,FALSE)</f>
        <v>#N/A</v>
      </c>
      <c r="P386" s="208" t="s">
        <v>112</v>
      </c>
      <c r="Q386" s="240" t="e">
        <f t="shared" si="76"/>
        <v>#N/A</v>
      </c>
      <c r="R386" s="239">
        <v>1</v>
      </c>
      <c r="S386" s="240" t="e">
        <f t="shared" si="79"/>
        <v>#N/A</v>
      </c>
      <c r="T386" s="216" t="s">
        <v>48</v>
      </c>
      <c r="U386" s="196" t="e">
        <f t="shared" si="77"/>
        <v>#N/A</v>
      </c>
    </row>
    <row r="387" spans="3:21" s="185" customFormat="1" ht="20.25" customHeight="1">
      <c r="C387" s="198"/>
      <c r="D387" s="203">
        <f t="shared" ref="D387:D450" si="86">D386+1</f>
        <v>387</v>
      </c>
      <c r="E387" s="207" t="s">
        <v>377</v>
      </c>
      <c r="F387" s="211">
        <f t="shared" si="78"/>
        <v>386</v>
      </c>
      <c r="G387" s="206"/>
      <c r="H387" s="206"/>
      <c r="I387" s="208"/>
      <c r="J387" s="208"/>
      <c r="K387" s="234">
        <v>2</v>
      </c>
      <c r="L387" s="208" t="s">
        <v>39</v>
      </c>
      <c r="M387" s="217">
        <v>1</v>
      </c>
      <c r="N387" s="208" t="s">
        <v>81</v>
      </c>
      <c r="O387" s="218">
        <v>1</v>
      </c>
      <c r="P387" s="208" t="s">
        <v>112</v>
      </c>
      <c r="Q387" s="240">
        <f t="shared" si="76"/>
        <v>1</v>
      </c>
      <c r="R387" s="239">
        <v>1</v>
      </c>
      <c r="S387" s="240">
        <f t="shared" si="79"/>
        <v>2</v>
      </c>
      <c r="T387" s="216" t="s">
        <v>48</v>
      </c>
      <c r="U387" s="196" t="str">
        <f t="shared" si="77"/>
        <v>2 Hrs</v>
      </c>
    </row>
    <row r="388" spans="3:21" s="185" customFormat="1" ht="20.25" customHeight="1">
      <c r="C388" s="198">
        <f>D388</f>
        <v>388</v>
      </c>
      <c r="D388" s="203">
        <f t="shared" si="86"/>
        <v>388</v>
      </c>
      <c r="E388" s="209" t="s">
        <v>378</v>
      </c>
      <c r="F388" s="210">
        <f>D384</f>
        <v>384</v>
      </c>
      <c r="G388" s="206"/>
      <c r="H388" s="206"/>
      <c r="I388" s="208"/>
      <c r="J388" s="208"/>
      <c r="K388" s="234"/>
      <c r="L388" s="208"/>
      <c r="M388" s="217"/>
      <c r="N388" s="208"/>
      <c r="O388" s="218"/>
      <c r="P388" s="208"/>
      <c r="Q388" s="240"/>
      <c r="R388" s="239"/>
      <c r="S388" s="240"/>
      <c r="T388" s="216"/>
      <c r="U388" s="196"/>
    </row>
    <row r="389" spans="3:21" s="185" customFormat="1" ht="20.25" customHeight="1">
      <c r="C389" s="198"/>
      <c r="D389" s="203">
        <f t="shared" si="86"/>
        <v>389</v>
      </c>
      <c r="E389" s="207" t="s">
        <v>372</v>
      </c>
      <c r="F389" s="211"/>
      <c r="G389" s="206" t="s">
        <v>44</v>
      </c>
      <c r="H389" s="206"/>
      <c r="I389" s="208"/>
      <c r="J389" s="234"/>
      <c r="K389" s="234">
        <v>1</v>
      </c>
      <c r="L389" s="208" t="s">
        <v>39</v>
      </c>
      <c r="M389" s="217">
        <v>1</v>
      </c>
      <c r="N389" s="208" t="s">
        <v>48</v>
      </c>
      <c r="O389" s="218">
        <v>1</v>
      </c>
      <c r="P389" s="208" t="s">
        <v>112</v>
      </c>
      <c r="Q389" s="240">
        <f t="shared" si="76"/>
        <v>1</v>
      </c>
      <c r="R389" s="239">
        <v>1</v>
      </c>
      <c r="S389" s="240">
        <f t="shared" si="79"/>
        <v>2</v>
      </c>
      <c r="T389" s="216" t="s">
        <v>48</v>
      </c>
      <c r="U389" s="196" t="str">
        <f t="shared" si="77"/>
        <v>2 Hrs</v>
      </c>
    </row>
    <row r="390" spans="3:21" s="185" customFormat="1" ht="20.25" customHeight="1">
      <c r="C390" s="198"/>
      <c r="D390" s="203">
        <f t="shared" si="86"/>
        <v>390</v>
      </c>
      <c r="E390" s="207" t="s">
        <v>372</v>
      </c>
      <c r="F390" s="211">
        <f t="shared" si="78"/>
        <v>389</v>
      </c>
      <c r="G390" s="206" t="s">
        <v>44</v>
      </c>
      <c r="H390" s="206"/>
      <c r="I390" s="208"/>
      <c r="J390" s="234"/>
      <c r="K390" s="234">
        <v>1</v>
      </c>
      <c r="L390" s="208" t="s">
        <v>39</v>
      </c>
      <c r="M390" s="217">
        <v>1</v>
      </c>
      <c r="N390" s="208" t="s">
        <v>48</v>
      </c>
      <c r="O390" s="218">
        <v>1</v>
      </c>
      <c r="P390" s="208" t="s">
        <v>112</v>
      </c>
      <c r="Q390" s="240">
        <f t="shared" si="76"/>
        <v>1</v>
      </c>
      <c r="R390" s="239">
        <v>1</v>
      </c>
      <c r="S390" s="240">
        <f t="shared" si="79"/>
        <v>2</v>
      </c>
      <c r="T390" s="216" t="s">
        <v>48</v>
      </c>
      <c r="U390" s="196" t="str">
        <f t="shared" si="77"/>
        <v>2 Hrs</v>
      </c>
    </row>
    <row r="391" spans="3:21" s="185" customFormat="1" ht="20.25" customHeight="1">
      <c r="C391" s="198"/>
      <c r="D391" s="203">
        <f t="shared" si="86"/>
        <v>391</v>
      </c>
      <c r="E391" s="207" t="s">
        <v>377</v>
      </c>
      <c r="F391" s="211">
        <f t="shared" si="78"/>
        <v>390</v>
      </c>
      <c r="G391" s="206" t="s">
        <v>44</v>
      </c>
      <c r="H391" s="206"/>
      <c r="I391" s="208"/>
      <c r="J391" s="234"/>
      <c r="K391" s="234">
        <v>2</v>
      </c>
      <c r="L391" s="208" t="s">
        <v>39</v>
      </c>
      <c r="M391" s="217">
        <v>1</v>
      </c>
      <c r="N391" s="208" t="s">
        <v>48</v>
      </c>
      <c r="O391" s="218">
        <v>1</v>
      </c>
      <c r="P391" s="208" t="s">
        <v>112</v>
      </c>
      <c r="Q391" s="240">
        <f t="shared" si="76"/>
        <v>1</v>
      </c>
      <c r="R391" s="239">
        <v>1</v>
      </c>
      <c r="S391" s="240">
        <f t="shared" si="79"/>
        <v>2</v>
      </c>
      <c r="T391" s="216" t="s">
        <v>48</v>
      </c>
      <c r="U391" s="196" t="str">
        <f t="shared" si="77"/>
        <v>2 Hrs</v>
      </c>
    </row>
    <row r="392" spans="3:21" s="185" customFormat="1" ht="20.25" customHeight="1">
      <c r="C392" s="198">
        <f>D392</f>
        <v>392</v>
      </c>
      <c r="D392" s="203">
        <f t="shared" si="86"/>
        <v>392</v>
      </c>
      <c r="E392" s="209" t="s">
        <v>379</v>
      </c>
      <c r="F392" s="210">
        <f>D388</f>
        <v>388</v>
      </c>
      <c r="G392" s="206"/>
      <c r="H392" s="206"/>
      <c r="I392" s="208"/>
      <c r="J392" s="208"/>
      <c r="K392" s="234"/>
      <c r="L392" s="208"/>
      <c r="M392" s="217"/>
      <c r="N392" s="208"/>
      <c r="O392" s="218"/>
      <c r="P392" s="208"/>
      <c r="Q392" s="240"/>
      <c r="R392" s="239"/>
      <c r="S392" s="240"/>
      <c r="T392" s="216"/>
      <c r="U392" s="196"/>
    </row>
    <row r="393" spans="3:21" s="185" customFormat="1" ht="20.25" customHeight="1">
      <c r="C393" s="198"/>
      <c r="D393" s="203">
        <f t="shared" si="86"/>
        <v>393</v>
      </c>
      <c r="E393" s="207" t="s">
        <v>380</v>
      </c>
      <c r="F393" s="211"/>
      <c r="G393" s="206" t="s">
        <v>37</v>
      </c>
      <c r="H393" s="206"/>
      <c r="I393" s="208"/>
      <c r="J393" s="208"/>
      <c r="K393" s="234">
        <v>1</v>
      </c>
      <c r="L393" s="208" t="s">
        <v>39</v>
      </c>
      <c r="M393" s="217">
        <v>1</v>
      </c>
      <c r="N393" s="208" t="s">
        <v>81</v>
      </c>
      <c r="O393" s="218">
        <v>1</v>
      </c>
      <c r="P393" s="208" t="s">
        <v>162</v>
      </c>
      <c r="Q393" s="240">
        <f t="shared" si="76"/>
        <v>1</v>
      </c>
      <c r="R393" s="239"/>
      <c r="S393" s="240">
        <f t="shared" si="79"/>
        <v>1</v>
      </c>
      <c r="T393" s="216" t="s">
        <v>48</v>
      </c>
      <c r="U393" s="196" t="str">
        <f t="shared" si="77"/>
        <v>1 Hrs</v>
      </c>
    </row>
    <row r="394" spans="3:21" s="185" customFormat="1" ht="20.25" customHeight="1">
      <c r="C394" s="198"/>
      <c r="D394" s="203">
        <f t="shared" si="86"/>
        <v>394</v>
      </c>
      <c r="E394" s="207" t="s">
        <v>381</v>
      </c>
      <c r="F394" s="211">
        <f t="shared" si="78"/>
        <v>393</v>
      </c>
      <c r="G394" s="206" t="s">
        <v>115</v>
      </c>
      <c r="H394" s="206"/>
      <c r="I394" s="224">
        <v>12</v>
      </c>
      <c r="J394" s="208">
        <f>J382</f>
        <v>0</v>
      </c>
      <c r="K394" s="234">
        <v>1</v>
      </c>
      <c r="L394" s="208" t="s">
        <v>39</v>
      </c>
      <c r="M394" s="227" t="e">
        <f t="shared" ref="M394:M400" si="87">LEFT(J394,SEARCH(" ",J394,1)-1)*3.142*K394*0.001</f>
        <v>#VALUE!</v>
      </c>
      <c r="N394" s="208" t="s">
        <v>249</v>
      </c>
      <c r="O394" s="246">
        <f>VLOOKUP(I394,BM!$A$2:$X$104,17,FALSE)</f>
        <v>2.5</v>
      </c>
      <c r="P394" s="208" t="s">
        <v>112</v>
      </c>
      <c r="Q394" s="240" t="e">
        <f t="shared" si="76"/>
        <v>#VALUE!</v>
      </c>
      <c r="R394" s="239">
        <v>1</v>
      </c>
      <c r="S394" s="240" t="e">
        <f t="shared" si="79"/>
        <v>#VALUE!</v>
      </c>
      <c r="T394" s="216" t="s">
        <v>48</v>
      </c>
      <c r="U394" s="196" t="e">
        <f t="shared" si="77"/>
        <v>#VALUE!</v>
      </c>
    </row>
    <row r="395" spans="3:21" s="185" customFormat="1" ht="20.25" customHeight="1">
      <c r="C395" s="198"/>
      <c r="D395" s="203">
        <f t="shared" si="86"/>
        <v>395</v>
      </c>
      <c r="E395" s="207" t="s">
        <v>382</v>
      </c>
      <c r="F395" s="211">
        <f t="shared" si="78"/>
        <v>394</v>
      </c>
      <c r="G395" s="206" t="s">
        <v>115</v>
      </c>
      <c r="H395" s="206"/>
      <c r="I395" s="224">
        <v>12</v>
      </c>
      <c r="J395" s="208">
        <f t="shared" ref="J395:J400" si="88">J394</f>
        <v>0</v>
      </c>
      <c r="K395" s="234">
        <v>1</v>
      </c>
      <c r="L395" s="208" t="s">
        <v>39</v>
      </c>
      <c r="M395" s="227" t="e">
        <f t="shared" si="87"/>
        <v>#VALUE!</v>
      </c>
      <c r="N395" s="208" t="s">
        <v>249</v>
      </c>
      <c r="O395" s="246">
        <f>VLOOKUP(I395,BM!$A$2:$X$104,17,FALSE)</f>
        <v>2.5</v>
      </c>
      <c r="P395" s="208" t="s">
        <v>112</v>
      </c>
      <c r="Q395" s="240" t="e">
        <f t="shared" si="76"/>
        <v>#VALUE!</v>
      </c>
      <c r="R395" s="239">
        <v>1</v>
      </c>
      <c r="S395" s="240" t="e">
        <f t="shared" si="79"/>
        <v>#VALUE!</v>
      </c>
      <c r="T395" s="216" t="s">
        <v>48</v>
      </c>
      <c r="U395" s="196" t="e">
        <f t="shared" si="77"/>
        <v>#VALUE!</v>
      </c>
    </row>
    <row r="396" spans="3:21" s="185" customFormat="1" ht="20.25" customHeight="1">
      <c r="C396" s="198"/>
      <c r="D396" s="203">
        <f t="shared" si="86"/>
        <v>396</v>
      </c>
      <c r="E396" s="207" t="s">
        <v>383</v>
      </c>
      <c r="F396" s="211">
        <f t="shared" si="78"/>
        <v>395</v>
      </c>
      <c r="G396" s="206" t="s">
        <v>115</v>
      </c>
      <c r="H396" s="206"/>
      <c r="I396" s="224">
        <v>12</v>
      </c>
      <c r="J396" s="208">
        <f t="shared" si="88"/>
        <v>0</v>
      </c>
      <c r="K396" s="234">
        <v>1</v>
      </c>
      <c r="L396" s="208" t="s">
        <v>39</v>
      </c>
      <c r="M396" s="227" t="e">
        <f t="shared" si="87"/>
        <v>#VALUE!</v>
      </c>
      <c r="N396" s="208" t="s">
        <v>249</v>
      </c>
      <c r="O396" s="246">
        <f>VLOOKUP(I396,BM!$A$2:$X$104,17,FALSE)</f>
        <v>2.5</v>
      </c>
      <c r="P396" s="208" t="s">
        <v>112</v>
      </c>
      <c r="Q396" s="240" t="e">
        <f t="shared" si="76"/>
        <v>#VALUE!</v>
      </c>
      <c r="R396" s="239">
        <v>1</v>
      </c>
      <c r="S396" s="240" t="e">
        <f t="shared" si="79"/>
        <v>#VALUE!</v>
      </c>
      <c r="T396" s="216" t="s">
        <v>48</v>
      </c>
      <c r="U396" s="196" t="e">
        <f t="shared" si="77"/>
        <v>#VALUE!</v>
      </c>
    </row>
    <row r="397" spans="3:21" s="185" customFormat="1" ht="20.25" customHeight="1">
      <c r="C397" s="198"/>
      <c r="D397" s="203">
        <f t="shared" si="86"/>
        <v>397</v>
      </c>
      <c r="E397" s="207" t="s">
        <v>384</v>
      </c>
      <c r="F397" s="211">
        <f t="shared" si="78"/>
        <v>396</v>
      </c>
      <c r="G397" s="206" t="s">
        <v>44</v>
      </c>
      <c r="H397" s="206"/>
      <c r="I397" s="224">
        <v>12</v>
      </c>
      <c r="J397" s="208">
        <f t="shared" si="88"/>
        <v>0</v>
      </c>
      <c r="K397" s="234">
        <v>2</v>
      </c>
      <c r="L397" s="208" t="s">
        <v>39</v>
      </c>
      <c r="M397" s="227" t="e">
        <f t="shared" si="87"/>
        <v>#VALUE!</v>
      </c>
      <c r="N397" s="208" t="s">
        <v>249</v>
      </c>
      <c r="O397" s="218">
        <v>1</v>
      </c>
      <c r="P397" s="208" t="s">
        <v>112</v>
      </c>
      <c r="Q397" s="240" t="e">
        <f t="shared" si="76"/>
        <v>#VALUE!</v>
      </c>
      <c r="R397" s="239">
        <v>1</v>
      </c>
      <c r="S397" s="240" t="e">
        <f t="shared" si="79"/>
        <v>#VALUE!</v>
      </c>
      <c r="T397" s="216" t="s">
        <v>48</v>
      </c>
      <c r="U397" s="196" t="e">
        <f t="shared" si="77"/>
        <v>#VALUE!</v>
      </c>
    </row>
    <row r="398" spans="3:21" s="185" customFormat="1" ht="20.25" customHeight="1">
      <c r="C398" s="198"/>
      <c r="D398" s="203">
        <f t="shared" si="86"/>
        <v>398</v>
      </c>
      <c r="E398" s="207" t="s">
        <v>385</v>
      </c>
      <c r="F398" s="211">
        <f t="shared" si="78"/>
        <v>397</v>
      </c>
      <c r="G398" s="206" t="s">
        <v>386</v>
      </c>
      <c r="H398" s="206"/>
      <c r="I398" s="224">
        <v>8</v>
      </c>
      <c r="J398" s="208">
        <f t="shared" si="88"/>
        <v>0</v>
      </c>
      <c r="K398" s="234">
        <v>1</v>
      </c>
      <c r="L398" s="208" t="s">
        <v>39</v>
      </c>
      <c r="M398" s="227" t="e">
        <f t="shared" si="87"/>
        <v>#VALUE!</v>
      </c>
      <c r="N398" s="208" t="s">
        <v>249</v>
      </c>
      <c r="O398" s="246">
        <f>VLOOKUP(I398,BM!$A$2:$X$104,17,FALSE)</f>
        <v>1.36</v>
      </c>
      <c r="P398" s="208" t="s">
        <v>112</v>
      </c>
      <c r="Q398" s="240" t="e">
        <f t="shared" si="76"/>
        <v>#VALUE!</v>
      </c>
      <c r="R398" s="239">
        <v>1</v>
      </c>
      <c r="S398" s="240" t="e">
        <f t="shared" si="79"/>
        <v>#VALUE!</v>
      </c>
      <c r="T398" s="216" t="s">
        <v>48</v>
      </c>
      <c r="U398" s="196" t="e">
        <f t="shared" si="77"/>
        <v>#VALUE!</v>
      </c>
    </row>
    <row r="399" spans="3:21" s="185" customFormat="1" ht="20.25" customHeight="1">
      <c r="C399" s="198"/>
      <c r="D399" s="203">
        <f t="shared" si="86"/>
        <v>399</v>
      </c>
      <c r="E399" s="207" t="s">
        <v>387</v>
      </c>
      <c r="F399" s="211">
        <f t="shared" si="78"/>
        <v>398</v>
      </c>
      <c r="G399" s="206" t="s">
        <v>386</v>
      </c>
      <c r="H399" s="206"/>
      <c r="I399" s="224">
        <v>8</v>
      </c>
      <c r="J399" s="208">
        <f t="shared" si="88"/>
        <v>0</v>
      </c>
      <c r="K399" s="234">
        <v>1</v>
      </c>
      <c r="L399" s="208" t="s">
        <v>39</v>
      </c>
      <c r="M399" s="227" t="e">
        <f t="shared" si="87"/>
        <v>#VALUE!</v>
      </c>
      <c r="N399" s="208" t="s">
        <v>249</v>
      </c>
      <c r="O399" s="246">
        <f>VLOOKUP(I399,BM!$A$2:$X$104,17,FALSE)</f>
        <v>1.36</v>
      </c>
      <c r="P399" s="208" t="s">
        <v>112</v>
      </c>
      <c r="Q399" s="240" t="e">
        <f t="shared" si="76"/>
        <v>#VALUE!</v>
      </c>
      <c r="R399" s="239">
        <v>1</v>
      </c>
      <c r="S399" s="240" t="e">
        <f t="shared" si="79"/>
        <v>#VALUE!</v>
      </c>
      <c r="T399" s="216" t="s">
        <v>48</v>
      </c>
      <c r="U399" s="196" t="e">
        <f t="shared" si="77"/>
        <v>#VALUE!</v>
      </c>
    </row>
    <row r="400" spans="3:21" s="185" customFormat="1" ht="20.25" customHeight="1">
      <c r="C400" s="198"/>
      <c r="D400" s="203">
        <f t="shared" si="86"/>
        <v>400</v>
      </c>
      <c r="E400" s="207" t="s">
        <v>388</v>
      </c>
      <c r="F400" s="211">
        <f t="shared" si="78"/>
        <v>399</v>
      </c>
      <c r="G400" s="206" t="s">
        <v>386</v>
      </c>
      <c r="H400" s="206"/>
      <c r="I400" s="224">
        <v>8</v>
      </c>
      <c r="J400" s="208">
        <f t="shared" si="88"/>
        <v>0</v>
      </c>
      <c r="K400" s="234">
        <v>0</v>
      </c>
      <c r="L400" s="208" t="s">
        <v>39</v>
      </c>
      <c r="M400" s="227" t="e">
        <f t="shared" si="87"/>
        <v>#VALUE!</v>
      </c>
      <c r="N400" s="208" t="s">
        <v>249</v>
      </c>
      <c r="O400" s="246">
        <f>VLOOKUP(I400,BM!$A$2:$X$104,17,FALSE)</f>
        <v>1.36</v>
      </c>
      <c r="P400" s="208" t="s">
        <v>112</v>
      </c>
      <c r="Q400" s="240" t="e">
        <f t="shared" si="76"/>
        <v>#VALUE!</v>
      </c>
      <c r="R400" s="239">
        <v>1</v>
      </c>
      <c r="S400" s="240" t="e">
        <f t="shared" si="79"/>
        <v>#VALUE!</v>
      </c>
      <c r="T400" s="216" t="s">
        <v>48</v>
      </c>
      <c r="U400" s="196" t="e">
        <f t="shared" si="77"/>
        <v>#VALUE!</v>
      </c>
    </row>
    <row r="401" spans="3:21" s="185" customFormat="1" ht="20.25" customHeight="1">
      <c r="C401" s="198">
        <f>D401</f>
        <v>401</v>
      </c>
      <c r="D401" s="203">
        <f t="shared" si="86"/>
        <v>401</v>
      </c>
      <c r="E401" s="209" t="s">
        <v>389</v>
      </c>
      <c r="F401" s="210">
        <f>D392</f>
        <v>392</v>
      </c>
      <c r="G401" s="206"/>
      <c r="H401" s="206"/>
      <c r="I401" s="208"/>
      <c r="J401" s="208"/>
      <c r="K401" s="234"/>
      <c r="L401" s="208"/>
      <c r="M401" s="217"/>
      <c r="N401" s="208"/>
      <c r="O401" s="218"/>
      <c r="P401" s="208"/>
      <c r="Q401" s="240"/>
      <c r="R401" s="239"/>
      <c r="S401" s="240"/>
      <c r="T401" s="216"/>
      <c r="U401" s="196"/>
    </row>
    <row r="402" spans="3:21" s="185" customFormat="1" ht="20.25" customHeight="1">
      <c r="C402" s="198"/>
      <c r="D402" s="203">
        <f t="shared" si="86"/>
        <v>402</v>
      </c>
      <c r="E402" s="207" t="s">
        <v>390</v>
      </c>
      <c r="F402" s="211"/>
      <c r="G402" s="206" t="s">
        <v>111</v>
      </c>
      <c r="H402" s="206"/>
      <c r="I402" s="224">
        <v>12</v>
      </c>
      <c r="J402" s="252" t="s">
        <v>1251</v>
      </c>
      <c r="K402" s="234">
        <v>2</v>
      </c>
      <c r="L402" s="208" t="s">
        <v>39</v>
      </c>
      <c r="M402" s="227">
        <f>LEFT(J402,SEARCH(" ",J402,1)-1)*3.142*K402*2*0.001</f>
        <v>8.1566320000000001</v>
      </c>
      <c r="N402" s="208" t="s">
        <v>81</v>
      </c>
      <c r="O402" s="218">
        <v>0.5</v>
      </c>
      <c r="P402" s="208" t="s">
        <v>162</v>
      </c>
      <c r="Q402" s="240">
        <f t="shared" si="76"/>
        <v>4.0783160000000001</v>
      </c>
      <c r="R402" s="239">
        <v>1</v>
      </c>
      <c r="S402" s="240">
        <f t="shared" si="79"/>
        <v>5.08</v>
      </c>
      <c r="T402" s="216" t="s">
        <v>48</v>
      </c>
      <c r="U402" s="196" t="str">
        <f t="shared" si="77"/>
        <v>5.08 Hrs</v>
      </c>
    </row>
    <row r="403" spans="3:21" s="185" customFormat="1" ht="20.25" customHeight="1">
      <c r="C403" s="198"/>
      <c r="D403" s="203">
        <f t="shared" si="86"/>
        <v>403</v>
      </c>
      <c r="E403" s="207" t="s">
        <v>392</v>
      </c>
      <c r="F403" s="211">
        <f t="shared" si="78"/>
        <v>402</v>
      </c>
      <c r="G403" s="206" t="s">
        <v>156</v>
      </c>
      <c r="H403" s="206"/>
      <c r="I403" s="224">
        <v>12</v>
      </c>
      <c r="J403" s="208" t="str">
        <f>J402</f>
        <v>649 mm od</v>
      </c>
      <c r="K403" s="234">
        <v>2</v>
      </c>
      <c r="L403" s="208" t="s">
        <v>249</v>
      </c>
      <c r="M403" s="227">
        <f>LEFT(J403,SEARCH(" ",J403,1)-1)*3.142*K403*2*0.001</f>
        <v>8.1566320000000001</v>
      </c>
      <c r="N403" s="208" t="s">
        <v>249</v>
      </c>
      <c r="O403" s="246">
        <f>VLOOKUP(I403,BM!$A$2:$X$104,22,FALSE)</f>
        <v>1.6</v>
      </c>
      <c r="P403" s="208" t="s">
        <v>162</v>
      </c>
      <c r="Q403" s="240">
        <f t="shared" si="76"/>
        <v>13.050611200000001</v>
      </c>
      <c r="R403" s="239">
        <v>1</v>
      </c>
      <c r="S403" s="240">
        <f t="shared" si="79"/>
        <v>14.05</v>
      </c>
      <c r="T403" s="216" t="s">
        <v>48</v>
      </c>
      <c r="U403" s="196" t="str">
        <f t="shared" si="77"/>
        <v>14.05 Hrs</v>
      </c>
    </row>
    <row r="404" spans="3:21" s="185" customFormat="1" ht="20.25" customHeight="1">
      <c r="C404" s="198"/>
      <c r="D404" s="203">
        <f t="shared" si="86"/>
        <v>404</v>
      </c>
      <c r="E404" s="207" t="s">
        <v>393</v>
      </c>
      <c r="F404" s="211">
        <f t="shared" si="78"/>
        <v>403</v>
      </c>
      <c r="G404" s="206" t="s">
        <v>394</v>
      </c>
      <c r="H404" s="206"/>
      <c r="I404" s="208"/>
      <c r="J404" s="211" t="str">
        <f>J403</f>
        <v>649 mm od</v>
      </c>
      <c r="K404" s="234">
        <v>2</v>
      </c>
      <c r="L404" s="208" t="s">
        <v>81</v>
      </c>
      <c r="M404" s="217">
        <f>K404</f>
        <v>2</v>
      </c>
      <c r="N404" s="208" t="s">
        <v>81</v>
      </c>
      <c r="O404" s="218">
        <v>8</v>
      </c>
      <c r="P404" s="208" t="s">
        <v>162</v>
      </c>
      <c r="Q404" s="240">
        <f t="shared" si="76"/>
        <v>16</v>
      </c>
      <c r="R404" s="239">
        <v>1</v>
      </c>
      <c r="S404" s="240">
        <f t="shared" si="79"/>
        <v>17</v>
      </c>
      <c r="T404" s="216" t="s">
        <v>48</v>
      </c>
      <c r="U404" s="196" t="str">
        <f t="shared" si="77"/>
        <v>17 Hrs</v>
      </c>
    </row>
    <row r="405" spans="3:21" s="185" customFormat="1" ht="20.25" customHeight="1">
      <c r="C405" s="198"/>
      <c r="D405" s="203">
        <f t="shared" si="86"/>
        <v>405</v>
      </c>
      <c r="E405" s="207" t="s">
        <v>395</v>
      </c>
      <c r="F405" s="211">
        <f t="shared" si="78"/>
        <v>404</v>
      </c>
      <c r="G405" s="206" t="s">
        <v>396</v>
      </c>
      <c r="H405" s="206"/>
      <c r="I405" s="208"/>
      <c r="J405" s="211" t="str">
        <f>J404</f>
        <v>649 mm od</v>
      </c>
      <c r="K405" s="234">
        <v>2</v>
      </c>
      <c r="L405" s="208" t="s">
        <v>81</v>
      </c>
      <c r="M405" s="217">
        <f>K405</f>
        <v>2</v>
      </c>
      <c r="N405" s="208" t="s">
        <v>81</v>
      </c>
      <c r="O405" s="218">
        <v>6</v>
      </c>
      <c r="P405" s="208" t="s">
        <v>162</v>
      </c>
      <c r="Q405" s="240">
        <f t="shared" si="76"/>
        <v>12</v>
      </c>
      <c r="R405" s="239">
        <v>1</v>
      </c>
      <c r="S405" s="240">
        <f t="shared" si="79"/>
        <v>13</v>
      </c>
      <c r="T405" s="216" t="s">
        <v>48</v>
      </c>
      <c r="U405" s="196" t="str">
        <f t="shared" si="77"/>
        <v>13 Hrs</v>
      </c>
    </row>
    <row r="406" spans="3:21" s="185" customFormat="1" ht="20.25" customHeight="1">
      <c r="C406" s="198"/>
      <c r="D406" s="203">
        <f t="shared" si="86"/>
        <v>406</v>
      </c>
      <c r="E406" s="207" t="s">
        <v>397</v>
      </c>
      <c r="F406" s="211">
        <f t="shared" si="78"/>
        <v>405</v>
      </c>
      <c r="G406" s="206" t="s">
        <v>156</v>
      </c>
      <c r="H406" s="206"/>
      <c r="I406" s="224">
        <v>12</v>
      </c>
      <c r="J406" s="208" t="s">
        <v>398</v>
      </c>
      <c r="K406" s="234">
        <v>1</v>
      </c>
      <c r="L406" s="208" t="s">
        <v>81</v>
      </c>
      <c r="M406" s="235">
        <f>(300*16+1536*3.142*360^-1*120*2)*2*0.001</f>
        <v>16.034815999999999</v>
      </c>
      <c r="N406" s="208" t="s">
        <v>249</v>
      </c>
      <c r="O406" s="246">
        <f>VLOOKUP(I406,BM!$A$2:$X$104,22,FALSE)</f>
        <v>1.6</v>
      </c>
      <c r="P406" s="208" t="s">
        <v>162</v>
      </c>
      <c r="Q406" s="240">
        <f t="shared" si="76"/>
        <v>25.655705600000001</v>
      </c>
      <c r="R406" s="239">
        <v>1</v>
      </c>
      <c r="S406" s="240">
        <f t="shared" si="79"/>
        <v>26.66</v>
      </c>
      <c r="T406" s="216" t="s">
        <v>48</v>
      </c>
      <c r="U406" s="196" t="str">
        <f t="shared" si="77"/>
        <v>26.66 Hrs</v>
      </c>
    </row>
    <row r="407" spans="3:21" s="185" customFormat="1" ht="20.25" customHeight="1">
      <c r="C407" s="198"/>
      <c r="D407" s="203">
        <f t="shared" si="86"/>
        <v>407</v>
      </c>
      <c r="E407" s="207" t="s">
        <v>399</v>
      </c>
      <c r="F407" s="211">
        <f t="shared" si="78"/>
        <v>406</v>
      </c>
      <c r="G407" s="206" t="s">
        <v>149</v>
      </c>
      <c r="H407" s="206"/>
      <c r="I407" s="208"/>
      <c r="J407" s="208"/>
      <c r="K407" s="234">
        <v>1</v>
      </c>
      <c r="L407" s="208" t="s">
        <v>39</v>
      </c>
      <c r="M407" s="217">
        <v>1</v>
      </c>
      <c r="N407" s="208" t="s">
        <v>81</v>
      </c>
      <c r="O407" s="218">
        <v>8</v>
      </c>
      <c r="P407" s="208" t="s">
        <v>162</v>
      </c>
      <c r="Q407" s="240">
        <f t="shared" si="76"/>
        <v>8</v>
      </c>
      <c r="R407" s="239">
        <v>1</v>
      </c>
      <c r="S407" s="240">
        <f t="shared" si="79"/>
        <v>9</v>
      </c>
      <c r="T407" s="216" t="s">
        <v>48</v>
      </c>
      <c r="U407" s="196" t="str">
        <f t="shared" si="77"/>
        <v>9 Hrs</v>
      </c>
    </row>
    <row r="408" spans="3:21" s="185" customFormat="1" ht="20.25" customHeight="1">
      <c r="C408" s="198">
        <f>D408</f>
        <v>408</v>
      </c>
      <c r="D408" s="203">
        <f t="shared" si="86"/>
        <v>408</v>
      </c>
      <c r="E408" s="209" t="s">
        <v>400</v>
      </c>
      <c r="F408" s="210">
        <f>D401</f>
        <v>401</v>
      </c>
      <c r="G408" s="206"/>
      <c r="H408" s="206"/>
      <c r="I408" s="208"/>
      <c r="J408" s="208"/>
      <c r="K408" s="234"/>
      <c r="L408" s="208"/>
      <c r="M408" s="217"/>
      <c r="N408" s="208"/>
      <c r="O408" s="218"/>
      <c r="P408" s="208"/>
      <c r="Q408" s="240"/>
      <c r="R408" s="239"/>
      <c r="S408" s="240"/>
      <c r="T408" s="216"/>
      <c r="U408" s="196"/>
    </row>
    <row r="409" spans="3:21" s="185" customFormat="1" ht="20.25" customHeight="1">
      <c r="C409" s="198"/>
      <c r="D409" s="203">
        <f t="shared" si="86"/>
        <v>409</v>
      </c>
      <c r="E409" s="207" t="s">
        <v>401</v>
      </c>
      <c r="F409" s="211"/>
      <c r="G409" s="206" t="s">
        <v>402</v>
      </c>
      <c r="H409" s="206"/>
      <c r="I409" s="208"/>
      <c r="J409" s="208"/>
      <c r="K409" s="234">
        <v>1</v>
      </c>
      <c r="L409" s="208" t="s">
        <v>39</v>
      </c>
      <c r="M409" s="217">
        <v>1</v>
      </c>
      <c r="N409" s="208" t="s">
        <v>81</v>
      </c>
      <c r="O409" s="218">
        <v>4</v>
      </c>
      <c r="P409" s="208" t="s">
        <v>162</v>
      </c>
      <c r="Q409" s="240">
        <f t="shared" si="76"/>
        <v>4</v>
      </c>
      <c r="R409" s="239">
        <v>1</v>
      </c>
      <c r="S409" s="240">
        <f t="shared" si="79"/>
        <v>5</v>
      </c>
      <c r="T409" s="216" t="s">
        <v>48</v>
      </c>
      <c r="U409" s="196" t="str">
        <f t="shared" si="77"/>
        <v>5 Hrs</v>
      </c>
    </row>
    <row r="410" spans="3:21" s="185" customFormat="1" ht="20.25" customHeight="1">
      <c r="C410" s="198"/>
      <c r="D410" s="203">
        <f t="shared" si="86"/>
        <v>410</v>
      </c>
      <c r="E410" s="207" t="s">
        <v>403</v>
      </c>
      <c r="F410" s="211">
        <f t="shared" si="78"/>
        <v>409</v>
      </c>
      <c r="G410" s="206" t="s">
        <v>172</v>
      </c>
      <c r="H410" s="206"/>
      <c r="I410" s="208"/>
      <c r="J410" s="208"/>
      <c r="K410" s="234">
        <v>1</v>
      </c>
      <c r="L410" s="208" t="s">
        <v>39</v>
      </c>
      <c r="M410" s="217">
        <v>1</v>
      </c>
      <c r="N410" s="208" t="s">
        <v>81</v>
      </c>
      <c r="O410" s="218">
        <v>4</v>
      </c>
      <c r="P410" s="208" t="s">
        <v>162</v>
      </c>
      <c r="Q410" s="240">
        <f t="shared" si="76"/>
        <v>4</v>
      </c>
      <c r="R410" s="239">
        <v>1</v>
      </c>
      <c r="S410" s="240">
        <f t="shared" si="79"/>
        <v>5</v>
      </c>
      <c r="T410" s="216" t="s">
        <v>48</v>
      </c>
      <c r="U410" s="196" t="str">
        <f t="shared" si="77"/>
        <v>5 Hrs</v>
      </c>
    </row>
    <row r="411" spans="3:21" s="185" customFormat="1" ht="20.25" customHeight="1">
      <c r="C411" s="198"/>
      <c r="D411" s="203">
        <f t="shared" si="86"/>
        <v>411</v>
      </c>
      <c r="E411" s="207" t="s">
        <v>404</v>
      </c>
      <c r="F411" s="211">
        <f t="shared" si="78"/>
        <v>410</v>
      </c>
      <c r="G411" s="206" t="s">
        <v>115</v>
      </c>
      <c r="H411" s="206"/>
      <c r="I411" s="224">
        <v>12</v>
      </c>
      <c r="J411" s="208"/>
      <c r="K411" s="234">
        <v>6</v>
      </c>
      <c r="L411" s="208" t="s">
        <v>139</v>
      </c>
      <c r="M411" s="235">
        <f>430*12*0.001</f>
        <v>5.16</v>
      </c>
      <c r="N411" s="208" t="s">
        <v>249</v>
      </c>
      <c r="O411" s="246">
        <f>VLOOKUP(I411,BM!$A$2:$X$104,22,FALSE)</f>
        <v>1.6</v>
      </c>
      <c r="P411" s="208" t="s">
        <v>162</v>
      </c>
      <c r="Q411" s="240">
        <f t="shared" si="76"/>
        <v>8.2560000000000002</v>
      </c>
      <c r="R411" s="239">
        <v>1</v>
      </c>
      <c r="S411" s="240">
        <f t="shared" si="79"/>
        <v>9.26</v>
      </c>
      <c r="T411" s="216" t="s">
        <v>48</v>
      </c>
      <c r="U411" s="196" t="str">
        <f t="shared" si="77"/>
        <v>9.26 Hrs</v>
      </c>
    </row>
    <row r="412" spans="3:21" s="185" customFormat="1" ht="20.25" customHeight="1">
      <c r="C412" s="198">
        <f>D412</f>
        <v>412</v>
      </c>
      <c r="D412" s="203">
        <f t="shared" si="86"/>
        <v>412</v>
      </c>
      <c r="E412" s="209" t="s">
        <v>405</v>
      </c>
      <c r="F412" s="249">
        <v>408</v>
      </c>
      <c r="G412" s="206"/>
      <c r="H412" s="206"/>
      <c r="I412" s="208"/>
      <c r="J412" s="208"/>
      <c r="K412" s="234"/>
      <c r="L412" s="208"/>
      <c r="M412" s="217"/>
      <c r="N412" s="208"/>
      <c r="O412" s="218"/>
      <c r="P412" s="208"/>
      <c r="Q412" s="240"/>
      <c r="R412" s="239"/>
      <c r="S412" s="240"/>
      <c r="T412" s="216"/>
      <c r="U412" s="196"/>
    </row>
    <row r="413" spans="3:21" s="185" customFormat="1" ht="20.25" customHeight="1">
      <c r="C413" s="198"/>
      <c r="D413" s="203">
        <f t="shared" si="86"/>
        <v>413</v>
      </c>
      <c r="E413" s="207" t="s">
        <v>406</v>
      </c>
      <c r="F413" s="211">
        <f t="shared" ref="F413:F474" si="89">D412</f>
        <v>412</v>
      </c>
      <c r="G413" s="206" t="s">
        <v>44</v>
      </c>
      <c r="H413" s="206"/>
      <c r="I413" s="224">
        <v>12</v>
      </c>
      <c r="J413" s="253" t="s">
        <v>1252</v>
      </c>
      <c r="K413" s="234">
        <v>1</v>
      </c>
      <c r="L413" s="208" t="s">
        <v>39</v>
      </c>
      <c r="M413" s="217">
        <v>1</v>
      </c>
      <c r="N413" s="208"/>
      <c r="O413" s="218">
        <v>12</v>
      </c>
      <c r="P413" s="208" t="s">
        <v>162</v>
      </c>
      <c r="Q413" s="240">
        <f t="shared" ref="Q413:Q474" si="90">M413*O413</f>
        <v>12</v>
      </c>
      <c r="R413" s="239">
        <v>1</v>
      </c>
      <c r="S413" s="240">
        <f t="shared" ref="S413:S476" si="91">ROUND(Q413+R413,2)</f>
        <v>13</v>
      </c>
      <c r="T413" s="216" t="s">
        <v>48</v>
      </c>
      <c r="U413" s="196" t="str">
        <f t="shared" ref="U413:U474" si="92">CONCATENATE(S413," ",T413)</f>
        <v>13 Hrs</v>
      </c>
    </row>
    <row r="414" spans="3:21" s="185" customFormat="1" ht="20.25" customHeight="1">
      <c r="C414" s="198"/>
      <c r="D414" s="203">
        <f t="shared" si="86"/>
        <v>414</v>
      </c>
      <c r="E414" s="207" t="s">
        <v>64</v>
      </c>
      <c r="F414" s="211">
        <f t="shared" si="89"/>
        <v>413</v>
      </c>
      <c r="G414" s="206" t="s">
        <v>44</v>
      </c>
      <c r="H414" s="206"/>
      <c r="I414" s="224">
        <v>12</v>
      </c>
      <c r="J414" s="225" t="str">
        <f>J413</f>
        <v>5553 lg</v>
      </c>
      <c r="K414" s="225">
        <f>K413</f>
        <v>1</v>
      </c>
      <c r="L414" s="211" t="str">
        <f>L413</f>
        <v>No</v>
      </c>
      <c r="M414" s="235">
        <f>M413</f>
        <v>1</v>
      </c>
      <c r="N414" s="208"/>
      <c r="O414" s="218">
        <v>1</v>
      </c>
      <c r="P414" s="208" t="s">
        <v>41</v>
      </c>
      <c r="Q414" s="240">
        <f t="shared" si="90"/>
        <v>1</v>
      </c>
      <c r="R414" s="239"/>
      <c r="S414" s="240">
        <f t="shared" si="91"/>
        <v>1</v>
      </c>
      <c r="T414" s="216" t="s">
        <v>42</v>
      </c>
      <c r="U414" s="196" t="str">
        <f t="shared" si="92"/>
        <v>1 Days</v>
      </c>
    </row>
    <row r="415" spans="3:21" s="185" customFormat="1" ht="20.25" customHeight="1">
      <c r="C415" s="198">
        <f t="shared" ref="C415:C416" si="93">D415</f>
        <v>415</v>
      </c>
      <c r="D415" s="203">
        <f t="shared" si="86"/>
        <v>415</v>
      </c>
      <c r="E415" s="247" t="s">
        <v>408</v>
      </c>
      <c r="F415" s="210"/>
      <c r="G415" s="206"/>
      <c r="H415" s="206"/>
      <c r="I415" s="208"/>
      <c r="J415" s="208"/>
      <c r="K415" s="234"/>
      <c r="L415" s="208"/>
      <c r="M415" s="217"/>
      <c r="N415" s="208"/>
      <c r="O415" s="218"/>
      <c r="P415" s="208"/>
      <c r="Q415" s="240"/>
      <c r="R415" s="239"/>
      <c r="S415" s="240"/>
      <c r="T415" s="216"/>
      <c r="U415" s="196"/>
    </row>
    <row r="416" spans="3:21" s="185" customFormat="1" ht="20.25" customHeight="1">
      <c r="C416" s="198">
        <f t="shared" si="93"/>
        <v>416</v>
      </c>
      <c r="D416" s="203">
        <f t="shared" si="86"/>
        <v>416</v>
      </c>
      <c r="E416" s="209" t="s">
        <v>409</v>
      </c>
      <c r="F416" s="210">
        <f>D5</f>
        <v>5</v>
      </c>
      <c r="G416" s="206"/>
      <c r="H416" s="206"/>
      <c r="I416" s="208"/>
      <c r="J416" s="208"/>
      <c r="K416" s="234"/>
      <c r="L416" s="208"/>
      <c r="M416" s="217"/>
      <c r="N416" s="208"/>
      <c r="O416" s="218"/>
      <c r="P416" s="208"/>
      <c r="Q416" s="240"/>
      <c r="R416" s="239"/>
      <c r="S416" s="240"/>
      <c r="T416" s="216"/>
      <c r="U416" s="196"/>
    </row>
    <row r="417" spans="3:21" s="185" customFormat="1" ht="20.25" customHeight="1">
      <c r="C417" s="198"/>
      <c r="D417" s="203">
        <f t="shared" si="86"/>
        <v>417</v>
      </c>
      <c r="E417" s="207" t="s">
        <v>410</v>
      </c>
      <c r="F417" s="211">
        <f t="shared" si="89"/>
        <v>416</v>
      </c>
      <c r="G417" s="206" t="s">
        <v>37</v>
      </c>
      <c r="H417" s="206"/>
      <c r="I417" s="208"/>
      <c r="J417" s="208"/>
      <c r="K417" s="234">
        <v>1</v>
      </c>
      <c r="L417" s="208" t="s">
        <v>39</v>
      </c>
      <c r="M417" s="217">
        <v>1</v>
      </c>
      <c r="N417" s="208" t="s">
        <v>39</v>
      </c>
      <c r="O417" s="218">
        <v>4</v>
      </c>
      <c r="P417" s="208" t="s">
        <v>41</v>
      </c>
      <c r="Q417" s="240">
        <f t="shared" si="90"/>
        <v>4</v>
      </c>
      <c r="R417" s="239"/>
      <c r="S417" s="240">
        <f t="shared" si="91"/>
        <v>4</v>
      </c>
      <c r="T417" s="216" t="s">
        <v>42</v>
      </c>
      <c r="U417" s="196" t="str">
        <f t="shared" si="92"/>
        <v>4 Days</v>
      </c>
    </row>
    <row r="418" spans="3:21" s="185" customFormat="1" ht="20.25" customHeight="1">
      <c r="C418" s="198"/>
      <c r="D418" s="203">
        <f t="shared" si="86"/>
        <v>418</v>
      </c>
      <c r="E418" s="207" t="s">
        <v>411</v>
      </c>
      <c r="F418" s="211">
        <f t="shared" si="89"/>
        <v>417</v>
      </c>
      <c r="G418" s="206" t="s">
        <v>201</v>
      </c>
      <c r="H418" s="206"/>
      <c r="I418" s="224">
        <v>12</v>
      </c>
      <c r="J418" s="253" t="s">
        <v>1253</v>
      </c>
      <c r="K418" s="234">
        <v>1</v>
      </c>
      <c r="L418" s="208" t="s">
        <v>81</v>
      </c>
      <c r="M418" s="227">
        <f t="shared" ref="M418:M422" si="94">LEFT(J418,SEARCH(" ",J418,1)-1)*K418*0.001</f>
        <v>0.51200000000000001</v>
      </c>
      <c r="N418" s="208" t="s">
        <v>139</v>
      </c>
      <c r="O418" s="246">
        <f>VLOOKUP(I418,BM!$A$2:$X$104,2,FALSE)</f>
        <v>0.1</v>
      </c>
      <c r="P418" s="208" t="s">
        <v>112</v>
      </c>
      <c r="Q418" s="240">
        <f t="shared" si="90"/>
        <v>5.1200000000000002E-2</v>
      </c>
      <c r="R418" s="239">
        <v>1</v>
      </c>
      <c r="S418" s="240">
        <f t="shared" si="91"/>
        <v>1.05</v>
      </c>
      <c r="T418" s="216" t="s">
        <v>48</v>
      </c>
      <c r="U418" s="196" t="str">
        <f t="shared" si="92"/>
        <v>1.05 Hrs</v>
      </c>
    </row>
    <row r="419" spans="3:21" s="185" customFormat="1" ht="20.25" customHeight="1">
      <c r="C419" s="198"/>
      <c r="D419" s="203">
        <f t="shared" si="86"/>
        <v>419</v>
      </c>
      <c r="E419" s="207" t="s">
        <v>413</v>
      </c>
      <c r="F419" s="211">
        <f t="shared" si="89"/>
        <v>418</v>
      </c>
      <c r="G419" s="206" t="s">
        <v>52</v>
      </c>
      <c r="H419" s="206"/>
      <c r="I419" s="233">
        <f t="shared" ref="I419:J422" si="95">I418</f>
        <v>12</v>
      </c>
      <c r="J419" s="211" t="str">
        <f>J418</f>
        <v>512 mm</v>
      </c>
      <c r="K419" s="234">
        <v>1</v>
      </c>
      <c r="L419" s="208" t="s">
        <v>81</v>
      </c>
      <c r="M419" s="227">
        <f t="shared" si="94"/>
        <v>0.51200000000000001</v>
      </c>
      <c r="N419" s="208" t="s">
        <v>139</v>
      </c>
      <c r="O419" s="246">
        <f>VLOOKUP(I419,BM!$A$2:$X$104,3,FALSE)</f>
        <v>0.25</v>
      </c>
      <c r="P419" s="208" t="s">
        <v>112</v>
      </c>
      <c r="Q419" s="240">
        <f t="shared" si="90"/>
        <v>0.128</v>
      </c>
      <c r="R419" s="239">
        <v>1</v>
      </c>
      <c r="S419" s="240">
        <f t="shared" si="91"/>
        <v>1.1299999999999999</v>
      </c>
      <c r="T419" s="216" t="s">
        <v>48</v>
      </c>
      <c r="U419" s="196" t="str">
        <f t="shared" si="92"/>
        <v>1.13 Hrs</v>
      </c>
    </row>
    <row r="420" spans="3:21" s="185" customFormat="1" ht="20.25" customHeight="1">
      <c r="C420" s="198"/>
      <c r="D420" s="203">
        <f t="shared" si="86"/>
        <v>420</v>
      </c>
      <c r="E420" s="207" t="s">
        <v>414</v>
      </c>
      <c r="F420" s="211">
        <f t="shared" si="89"/>
        <v>419</v>
      </c>
      <c r="G420" s="206" t="s">
        <v>61</v>
      </c>
      <c r="H420" s="206"/>
      <c r="I420" s="233">
        <f t="shared" si="95"/>
        <v>12</v>
      </c>
      <c r="J420" s="211" t="str">
        <f t="shared" si="95"/>
        <v>512 mm</v>
      </c>
      <c r="K420" s="234">
        <v>1</v>
      </c>
      <c r="L420" s="208" t="s">
        <v>81</v>
      </c>
      <c r="M420" s="227">
        <f t="shared" si="94"/>
        <v>0.51200000000000001</v>
      </c>
      <c r="N420" s="208" t="s">
        <v>139</v>
      </c>
      <c r="O420" s="246">
        <f>VLOOKUP(I420,BM!$A$2:$X$104,4,FALSE)</f>
        <v>0.15</v>
      </c>
      <c r="P420" s="208" t="s">
        <v>112</v>
      </c>
      <c r="Q420" s="240">
        <f t="shared" si="90"/>
        <v>7.6799999999999993E-2</v>
      </c>
      <c r="R420" s="239">
        <v>1</v>
      </c>
      <c r="S420" s="240">
        <f t="shared" si="91"/>
        <v>1.08</v>
      </c>
      <c r="T420" s="216" t="s">
        <v>48</v>
      </c>
      <c r="U420" s="196" t="str">
        <f t="shared" si="92"/>
        <v>1.08 Hrs</v>
      </c>
    </row>
    <row r="421" spans="3:21" s="185" customFormat="1" ht="20.25" customHeight="1">
      <c r="C421" s="198"/>
      <c r="D421" s="203">
        <f t="shared" si="86"/>
        <v>421</v>
      </c>
      <c r="E421" s="207" t="s">
        <v>415</v>
      </c>
      <c r="F421" s="211">
        <f t="shared" si="89"/>
        <v>420</v>
      </c>
      <c r="G421" s="206" t="s">
        <v>224</v>
      </c>
      <c r="H421" s="206"/>
      <c r="I421" s="233">
        <f t="shared" si="95"/>
        <v>12</v>
      </c>
      <c r="J421" s="211" t="str">
        <f t="shared" si="95"/>
        <v>512 mm</v>
      </c>
      <c r="K421" s="234">
        <v>1</v>
      </c>
      <c r="L421" s="208" t="s">
        <v>81</v>
      </c>
      <c r="M421" s="227">
        <f t="shared" si="94"/>
        <v>0.51200000000000001</v>
      </c>
      <c r="N421" s="208" t="s">
        <v>139</v>
      </c>
      <c r="O421" s="246">
        <f>VLOOKUP(I421,BM!$A$2:$X$104,5,FALSE)</f>
        <v>0.5</v>
      </c>
      <c r="P421" s="208" t="s">
        <v>112</v>
      </c>
      <c r="Q421" s="240">
        <f t="shared" si="90"/>
        <v>0.25600000000000001</v>
      </c>
      <c r="R421" s="239">
        <v>1</v>
      </c>
      <c r="S421" s="240">
        <f t="shared" si="91"/>
        <v>1.26</v>
      </c>
      <c r="T421" s="216" t="s">
        <v>48</v>
      </c>
      <c r="U421" s="196" t="str">
        <f t="shared" si="92"/>
        <v>1.26 Hrs</v>
      </c>
    </row>
    <row r="422" spans="3:21" s="185" customFormat="1" ht="20.25" customHeight="1">
      <c r="C422" s="198"/>
      <c r="D422" s="203">
        <f t="shared" si="86"/>
        <v>422</v>
      </c>
      <c r="E422" s="207" t="s">
        <v>416</v>
      </c>
      <c r="F422" s="211">
        <f t="shared" si="89"/>
        <v>421</v>
      </c>
      <c r="G422" s="206" t="s">
        <v>61</v>
      </c>
      <c r="H422" s="206"/>
      <c r="I422" s="233">
        <f t="shared" si="95"/>
        <v>12</v>
      </c>
      <c r="J422" s="211" t="str">
        <f t="shared" si="95"/>
        <v>512 mm</v>
      </c>
      <c r="K422" s="234">
        <v>1</v>
      </c>
      <c r="L422" s="208" t="s">
        <v>81</v>
      </c>
      <c r="M422" s="227">
        <f t="shared" si="94"/>
        <v>0.51200000000000001</v>
      </c>
      <c r="N422" s="208" t="s">
        <v>139</v>
      </c>
      <c r="O422" s="246">
        <f>VLOOKUP(I422,BM!$A$2:$X$104,6,FALSE)</f>
        <v>1</v>
      </c>
      <c r="P422" s="208" t="s">
        <v>112</v>
      </c>
      <c r="Q422" s="240">
        <f t="shared" si="90"/>
        <v>0.51200000000000001</v>
      </c>
      <c r="R422" s="239">
        <v>1</v>
      </c>
      <c r="S422" s="240">
        <f t="shared" si="91"/>
        <v>1.51</v>
      </c>
      <c r="T422" s="216" t="s">
        <v>48</v>
      </c>
      <c r="U422" s="196" t="str">
        <f t="shared" si="92"/>
        <v>1.51 Hrs</v>
      </c>
    </row>
    <row r="423" spans="3:21" s="185" customFormat="1" ht="20.25" customHeight="1">
      <c r="C423" s="198">
        <f>D423</f>
        <v>423</v>
      </c>
      <c r="D423" s="203">
        <f t="shared" si="86"/>
        <v>423</v>
      </c>
      <c r="E423" s="209" t="s">
        <v>417</v>
      </c>
      <c r="F423" s="210">
        <f>D416</f>
        <v>416</v>
      </c>
      <c r="G423" s="206"/>
      <c r="H423" s="206"/>
      <c r="I423" s="208"/>
      <c r="J423" s="208"/>
      <c r="K423" s="234"/>
      <c r="L423" s="208"/>
      <c r="M423" s="217"/>
      <c r="N423" s="208"/>
      <c r="O423" s="218"/>
      <c r="P423" s="208"/>
      <c r="Q423" s="240"/>
      <c r="R423" s="239"/>
      <c r="S423" s="240"/>
      <c r="T423" s="216"/>
      <c r="U423" s="196"/>
    </row>
    <row r="424" spans="3:21" s="185" customFormat="1" ht="20.25" customHeight="1">
      <c r="C424" s="198"/>
      <c r="D424" s="203">
        <f t="shared" si="86"/>
        <v>424</v>
      </c>
      <c r="E424" s="207" t="s">
        <v>418</v>
      </c>
      <c r="F424" s="211"/>
      <c r="G424" s="206" t="s">
        <v>286</v>
      </c>
      <c r="H424" s="206"/>
      <c r="I424" s="233">
        <f>I422</f>
        <v>12</v>
      </c>
      <c r="J424" s="211" t="str">
        <f>J422</f>
        <v>512 mm</v>
      </c>
      <c r="K424" s="234">
        <v>1</v>
      </c>
      <c r="L424" s="208" t="s">
        <v>81</v>
      </c>
      <c r="M424" s="217">
        <v>1</v>
      </c>
      <c r="N424" s="208" t="s">
        <v>139</v>
      </c>
      <c r="O424" s="218">
        <v>3</v>
      </c>
      <c r="P424" s="208" t="s">
        <v>112</v>
      </c>
      <c r="Q424" s="240">
        <f t="shared" si="90"/>
        <v>3</v>
      </c>
      <c r="R424" s="239">
        <v>1</v>
      </c>
      <c r="S424" s="240">
        <f t="shared" si="91"/>
        <v>4</v>
      </c>
      <c r="T424" s="216" t="s">
        <v>48</v>
      </c>
      <c r="U424" s="196" t="str">
        <f t="shared" si="92"/>
        <v>4 Hrs</v>
      </c>
    </row>
    <row r="425" spans="3:21" s="185" customFormat="1" ht="20.25" customHeight="1">
      <c r="C425" s="198"/>
      <c r="D425" s="203">
        <f t="shared" si="86"/>
        <v>425</v>
      </c>
      <c r="E425" s="207" t="s">
        <v>419</v>
      </c>
      <c r="F425" s="211">
        <f t="shared" si="89"/>
        <v>424</v>
      </c>
      <c r="G425" s="206" t="s">
        <v>420</v>
      </c>
      <c r="H425" s="206"/>
      <c r="I425" s="233">
        <f t="shared" ref="I425:J427" si="96">I424</f>
        <v>12</v>
      </c>
      <c r="J425" s="211" t="str">
        <f t="shared" si="96"/>
        <v>512 mm</v>
      </c>
      <c r="K425" s="234">
        <v>1</v>
      </c>
      <c r="L425" s="208" t="s">
        <v>81</v>
      </c>
      <c r="M425" s="227">
        <f>LEFT(J425,SEARCH(" ",J425,1)-1)*K425*0.001*2</f>
        <v>1.024</v>
      </c>
      <c r="N425" s="208" t="s">
        <v>139</v>
      </c>
      <c r="O425" s="246">
        <f>VLOOKUP(I425,BM!$A$2:$X$104,8,FALSE)</f>
        <v>0.3</v>
      </c>
      <c r="P425" s="208" t="s">
        <v>112</v>
      </c>
      <c r="Q425" s="240">
        <f t="shared" si="90"/>
        <v>0.30719999999999997</v>
      </c>
      <c r="R425" s="239">
        <v>1</v>
      </c>
      <c r="S425" s="240">
        <f t="shared" si="91"/>
        <v>1.31</v>
      </c>
      <c r="T425" s="216" t="s">
        <v>48</v>
      </c>
      <c r="U425" s="196" t="str">
        <f t="shared" si="92"/>
        <v>1.31 Hrs</v>
      </c>
    </row>
    <row r="426" spans="3:21" s="185" customFormat="1" ht="20.25" customHeight="1">
      <c r="C426" s="198"/>
      <c r="D426" s="203">
        <f t="shared" si="86"/>
        <v>426</v>
      </c>
      <c r="E426" s="207" t="s">
        <v>421</v>
      </c>
      <c r="F426" s="211">
        <f t="shared" si="89"/>
        <v>425</v>
      </c>
      <c r="G426" s="206" t="s">
        <v>348</v>
      </c>
      <c r="H426" s="206"/>
      <c r="I426" s="233">
        <f t="shared" si="96"/>
        <v>12</v>
      </c>
      <c r="J426" s="211" t="str">
        <f t="shared" si="96"/>
        <v>512 mm</v>
      </c>
      <c r="K426" s="234">
        <v>1</v>
      </c>
      <c r="L426" s="208" t="s">
        <v>81</v>
      </c>
      <c r="M426" s="227">
        <f>LEFT(J426,SEARCH(" ",J426,1)-1)*K426*0.001*2</f>
        <v>1.024</v>
      </c>
      <c r="N426" s="208" t="s">
        <v>139</v>
      </c>
      <c r="O426" s="246">
        <f>VLOOKUP(I426,BM!$A$2:$X$104,9,FALSE)</f>
        <v>1</v>
      </c>
      <c r="P426" s="208" t="s">
        <v>112</v>
      </c>
      <c r="Q426" s="240">
        <f t="shared" si="90"/>
        <v>1.024</v>
      </c>
      <c r="R426" s="239">
        <v>1</v>
      </c>
      <c r="S426" s="240">
        <f t="shared" si="91"/>
        <v>2.02</v>
      </c>
      <c r="T426" s="216" t="s">
        <v>48</v>
      </c>
      <c r="U426" s="196" t="str">
        <f t="shared" si="92"/>
        <v>2.02 Hrs</v>
      </c>
    </row>
    <row r="427" spans="3:21" s="185" customFormat="1" ht="20.25" customHeight="1">
      <c r="C427" s="198"/>
      <c r="D427" s="203">
        <f t="shared" si="86"/>
        <v>427</v>
      </c>
      <c r="E427" s="207" t="s">
        <v>422</v>
      </c>
      <c r="F427" s="211">
        <f t="shared" si="89"/>
        <v>426</v>
      </c>
      <c r="G427" s="206" t="s">
        <v>286</v>
      </c>
      <c r="H427" s="206"/>
      <c r="I427" s="233">
        <f t="shared" si="96"/>
        <v>12</v>
      </c>
      <c r="J427" s="211" t="str">
        <f t="shared" si="96"/>
        <v>512 mm</v>
      </c>
      <c r="K427" s="234">
        <v>1</v>
      </c>
      <c r="L427" s="208" t="s">
        <v>81</v>
      </c>
      <c r="M427" s="227">
        <v>1</v>
      </c>
      <c r="N427" s="208" t="s">
        <v>39</v>
      </c>
      <c r="O427" s="218">
        <v>3</v>
      </c>
      <c r="P427" s="208" t="s">
        <v>112</v>
      </c>
      <c r="Q427" s="240">
        <f t="shared" si="90"/>
        <v>3</v>
      </c>
      <c r="R427" s="239">
        <v>1</v>
      </c>
      <c r="S427" s="240">
        <f t="shared" si="91"/>
        <v>4</v>
      </c>
      <c r="T427" s="216" t="s">
        <v>48</v>
      </c>
      <c r="U427" s="196" t="str">
        <f t="shared" si="92"/>
        <v>4 Hrs</v>
      </c>
    </row>
    <row r="428" spans="3:21" s="185" customFormat="1" ht="20.25" customHeight="1">
      <c r="C428" s="198">
        <f>D428</f>
        <v>428</v>
      </c>
      <c r="D428" s="203">
        <f t="shared" si="86"/>
        <v>428</v>
      </c>
      <c r="E428" s="209" t="s">
        <v>423</v>
      </c>
      <c r="F428" s="210">
        <f>D423</f>
        <v>423</v>
      </c>
      <c r="G428" s="206"/>
      <c r="H428" s="206"/>
      <c r="I428" s="208"/>
      <c r="J428" s="208"/>
      <c r="K428" s="234"/>
      <c r="L428" s="208"/>
      <c r="M428" s="217"/>
      <c r="N428" s="208"/>
      <c r="O428" s="218"/>
      <c r="P428" s="208"/>
      <c r="Q428" s="240"/>
      <c r="R428" s="239"/>
      <c r="S428" s="240"/>
      <c r="T428" s="216"/>
      <c r="U428" s="196"/>
    </row>
    <row r="429" spans="3:21" s="185" customFormat="1" ht="20.25" customHeight="1">
      <c r="C429" s="198"/>
      <c r="D429" s="203">
        <f t="shared" si="86"/>
        <v>429</v>
      </c>
      <c r="E429" s="207" t="s">
        <v>424</v>
      </c>
      <c r="F429" s="211"/>
      <c r="G429" s="206" t="s">
        <v>348</v>
      </c>
      <c r="H429" s="206"/>
      <c r="I429" s="224">
        <v>18</v>
      </c>
      <c r="J429" s="211" t="str">
        <f>J427</f>
        <v>512 mm</v>
      </c>
      <c r="K429" s="234">
        <v>1</v>
      </c>
      <c r="L429" s="208" t="s">
        <v>81</v>
      </c>
      <c r="M429" s="227">
        <f>LEFT(J429,SEARCH(" ",J429,1)-1)*K429*0.001*2</f>
        <v>1.024</v>
      </c>
      <c r="N429" s="208" t="s">
        <v>139</v>
      </c>
      <c r="O429" s="246">
        <f>VLOOKUP(I429,BM!$A$2:$X$104,9,FALSE)</f>
        <v>1</v>
      </c>
      <c r="P429" s="208" t="s">
        <v>112</v>
      </c>
      <c r="Q429" s="240">
        <f t="shared" si="90"/>
        <v>1.024</v>
      </c>
      <c r="R429" s="239">
        <v>1</v>
      </c>
      <c r="S429" s="240">
        <f t="shared" si="91"/>
        <v>2.02</v>
      </c>
      <c r="T429" s="216" t="s">
        <v>48</v>
      </c>
      <c r="U429" s="196" t="str">
        <f t="shared" si="92"/>
        <v>2.02 Hrs</v>
      </c>
    </row>
    <row r="430" spans="3:21" s="185" customFormat="1" ht="20.25" customHeight="1">
      <c r="C430" s="198"/>
      <c r="D430" s="203">
        <f t="shared" si="86"/>
        <v>430</v>
      </c>
      <c r="E430" s="207" t="s">
        <v>425</v>
      </c>
      <c r="F430" s="211">
        <f t="shared" si="89"/>
        <v>429</v>
      </c>
      <c r="G430" s="206" t="s">
        <v>111</v>
      </c>
      <c r="H430" s="206"/>
      <c r="I430" s="224">
        <v>18</v>
      </c>
      <c r="J430" s="211" t="str">
        <f>J429</f>
        <v>512 mm</v>
      </c>
      <c r="K430" s="234">
        <v>1</v>
      </c>
      <c r="L430" s="208" t="s">
        <v>81</v>
      </c>
      <c r="M430" s="227">
        <f>LEFT(J430,SEARCH(" ",J430,1)-1)*K430*0.001</f>
        <v>0.51200000000000001</v>
      </c>
      <c r="N430" s="208" t="s">
        <v>139</v>
      </c>
      <c r="O430" s="246">
        <f>VLOOKUP(I430,BM!$A$2:$X$104,10,FALSE)</f>
        <v>1</v>
      </c>
      <c r="P430" s="208" t="s">
        <v>112</v>
      </c>
      <c r="Q430" s="240">
        <f t="shared" si="90"/>
        <v>0.51200000000000001</v>
      </c>
      <c r="R430" s="239">
        <v>1</v>
      </c>
      <c r="S430" s="240">
        <f t="shared" si="91"/>
        <v>1.51</v>
      </c>
      <c r="T430" s="216" t="s">
        <v>48</v>
      </c>
      <c r="U430" s="196" t="str">
        <f t="shared" si="92"/>
        <v>1.51 Hrs</v>
      </c>
    </row>
    <row r="431" spans="3:21" s="185" customFormat="1" ht="20.25" customHeight="1">
      <c r="C431" s="198">
        <f>D431</f>
        <v>431</v>
      </c>
      <c r="D431" s="203">
        <f t="shared" si="86"/>
        <v>431</v>
      </c>
      <c r="E431" s="209" t="s">
        <v>426</v>
      </c>
      <c r="F431" s="210">
        <f>D428</f>
        <v>428</v>
      </c>
      <c r="G431" s="206"/>
      <c r="H431" s="206"/>
      <c r="I431" s="208"/>
      <c r="J431" s="208"/>
      <c r="K431" s="234"/>
      <c r="L431" s="208"/>
      <c r="M431" s="217"/>
      <c r="N431" s="208"/>
      <c r="O431" s="218"/>
      <c r="P431" s="208"/>
      <c r="Q431" s="240"/>
      <c r="R431" s="239"/>
      <c r="S431" s="240"/>
      <c r="T431" s="216"/>
      <c r="U431" s="196"/>
    </row>
    <row r="432" spans="3:21" s="185" customFormat="1" ht="20.25" customHeight="1">
      <c r="C432" s="198"/>
      <c r="D432" s="203">
        <f t="shared" si="86"/>
        <v>432</v>
      </c>
      <c r="E432" s="207" t="s">
        <v>427</v>
      </c>
      <c r="F432" s="211"/>
      <c r="G432" s="206" t="s">
        <v>201</v>
      </c>
      <c r="H432" s="206"/>
      <c r="I432" s="224">
        <v>18</v>
      </c>
      <c r="J432" s="211" t="str">
        <f>J430</f>
        <v>512 mm</v>
      </c>
      <c r="K432" s="234">
        <v>1</v>
      </c>
      <c r="L432" s="208" t="s">
        <v>81</v>
      </c>
      <c r="M432" s="217">
        <v>1</v>
      </c>
      <c r="N432" s="208" t="s">
        <v>139</v>
      </c>
      <c r="O432" s="218">
        <v>1</v>
      </c>
      <c r="P432" s="208" t="s">
        <v>112</v>
      </c>
      <c r="Q432" s="240">
        <f t="shared" si="90"/>
        <v>1</v>
      </c>
      <c r="R432" s="239">
        <v>1</v>
      </c>
      <c r="S432" s="240">
        <f t="shared" si="91"/>
        <v>2</v>
      </c>
      <c r="T432" s="216" t="s">
        <v>48</v>
      </c>
      <c r="U432" s="196" t="str">
        <f t="shared" si="92"/>
        <v>2 Hrs</v>
      </c>
    </row>
    <row r="433" spans="3:21" s="185" customFormat="1" ht="20.25" customHeight="1">
      <c r="C433" s="198"/>
      <c r="D433" s="203">
        <f t="shared" si="86"/>
        <v>433</v>
      </c>
      <c r="E433" s="207" t="s">
        <v>428</v>
      </c>
      <c r="F433" s="211">
        <f t="shared" si="89"/>
        <v>432</v>
      </c>
      <c r="G433" s="206" t="s">
        <v>115</v>
      </c>
      <c r="H433" s="206"/>
      <c r="I433" s="224">
        <v>12</v>
      </c>
      <c r="J433" s="211" t="str">
        <f t="shared" ref="J433:J437" si="97">J432</f>
        <v>512 mm</v>
      </c>
      <c r="K433" s="234">
        <v>1</v>
      </c>
      <c r="L433" s="208" t="s">
        <v>81</v>
      </c>
      <c r="M433" s="227">
        <f t="shared" ref="M433:M436" si="98">LEFT(J433,SEARCH(" ",J433,1)-1)*K433*0.001</f>
        <v>0.51200000000000001</v>
      </c>
      <c r="N433" s="208" t="s">
        <v>139</v>
      </c>
      <c r="O433" s="246">
        <f>VLOOKUP(I433,BM!$A$2:$X$104,12,FALSE)</f>
        <v>2.5</v>
      </c>
      <c r="P433" s="208" t="s">
        <v>112</v>
      </c>
      <c r="Q433" s="240">
        <f t="shared" si="90"/>
        <v>1.28</v>
      </c>
      <c r="R433" s="239">
        <v>1</v>
      </c>
      <c r="S433" s="240">
        <f t="shared" si="91"/>
        <v>2.2799999999999998</v>
      </c>
      <c r="T433" s="216" t="s">
        <v>48</v>
      </c>
      <c r="U433" s="196" t="str">
        <f t="shared" si="92"/>
        <v>2.28 Hrs</v>
      </c>
    </row>
    <row r="434" spans="3:21" s="185" customFormat="1" ht="20.25" customHeight="1">
      <c r="C434" s="198"/>
      <c r="D434" s="203">
        <f t="shared" si="86"/>
        <v>434</v>
      </c>
      <c r="E434" s="207" t="s">
        <v>429</v>
      </c>
      <c r="F434" s="211">
        <f t="shared" si="89"/>
        <v>433</v>
      </c>
      <c r="G434" s="206" t="s">
        <v>121</v>
      </c>
      <c r="H434" s="206"/>
      <c r="I434" s="224">
        <v>18</v>
      </c>
      <c r="J434" s="211" t="str">
        <f t="shared" si="97"/>
        <v>512 mm</v>
      </c>
      <c r="K434" s="234">
        <v>1</v>
      </c>
      <c r="L434" s="208" t="s">
        <v>81</v>
      </c>
      <c r="M434" s="227">
        <f t="shared" si="98"/>
        <v>0.51200000000000001</v>
      </c>
      <c r="N434" s="208" t="s">
        <v>139</v>
      </c>
      <c r="O434" s="246">
        <f>VLOOKUP(I434,BM!$A$2:$X$104,18,FALSE)</f>
        <v>1</v>
      </c>
      <c r="P434" s="208" t="s">
        <v>112</v>
      </c>
      <c r="Q434" s="240">
        <f t="shared" si="90"/>
        <v>0.51200000000000001</v>
      </c>
      <c r="R434" s="239">
        <v>1</v>
      </c>
      <c r="S434" s="240">
        <f t="shared" si="91"/>
        <v>1.51</v>
      </c>
      <c r="T434" s="216" t="s">
        <v>48</v>
      </c>
      <c r="U434" s="196" t="str">
        <f t="shared" si="92"/>
        <v>1.51 Hrs</v>
      </c>
    </row>
    <row r="435" spans="3:21" s="185" customFormat="1" ht="20.25" customHeight="1">
      <c r="C435" s="198"/>
      <c r="D435" s="203">
        <f t="shared" si="86"/>
        <v>435</v>
      </c>
      <c r="E435" s="207" t="s">
        <v>430</v>
      </c>
      <c r="F435" s="211">
        <f t="shared" si="89"/>
        <v>434</v>
      </c>
      <c r="G435" s="206" t="s">
        <v>115</v>
      </c>
      <c r="H435" s="206"/>
      <c r="I435" s="224">
        <v>6</v>
      </c>
      <c r="J435" s="211" t="str">
        <f t="shared" si="97"/>
        <v>512 mm</v>
      </c>
      <c r="K435" s="234">
        <v>1</v>
      </c>
      <c r="L435" s="208" t="s">
        <v>81</v>
      </c>
      <c r="M435" s="227">
        <f t="shared" si="98"/>
        <v>0.51200000000000001</v>
      </c>
      <c r="N435" s="208" t="s">
        <v>139</v>
      </c>
      <c r="O435" s="246">
        <f>VLOOKUP(I435,BM!$A$2:$X$104,12,FALSE)</f>
        <v>0.9</v>
      </c>
      <c r="P435" s="208" t="s">
        <v>112</v>
      </c>
      <c r="Q435" s="240">
        <f t="shared" si="90"/>
        <v>0.46080000000000004</v>
      </c>
      <c r="R435" s="239">
        <v>1</v>
      </c>
      <c r="S435" s="240">
        <f t="shared" si="91"/>
        <v>1.46</v>
      </c>
      <c r="T435" s="216" t="s">
        <v>48</v>
      </c>
      <c r="U435" s="196" t="str">
        <f t="shared" si="92"/>
        <v>1.46 Hrs</v>
      </c>
    </row>
    <row r="436" spans="3:21" s="185" customFormat="1" ht="20.25" customHeight="1">
      <c r="C436" s="198"/>
      <c r="D436" s="203">
        <f t="shared" si="86"/>
        <v>436</v>
      </c>
      <c r="E436" s="207" t="s">
        <v>431</v>
      </c>
      <c r="F436" s="211">
        <f t="shared" si="89"/>
        <v>435</v>
      </c>
      <c r="G436" s="206" t="s">
        <v>61</v>
      </c>
      <c r="H436" s="206"/>
      <c r="I436" s="224">
        <v>6</v>
      </c>
      <c r="J436" s="211" t="str">
        <f t="shared" si="97"/>
        <v>512 mm</v>
      </c>
      <c r="K436" s="234">
        <v>1</v>
      </c>
      <c r="L436" s="208" t="s">
        <v>81</v>
      </c>
      <c r="M436" s="227">
        <f t="shared" si="98"/>
        <v>0.51200000000000001</v>
      </c>
      <c r="N436" s="208" t="s">
        <v>139</v>
      </c>
      <c r="O436" s="246">
        <f>VLOOKUP(I436,BM!$A$2:$X$104,20,FALSE)</f>
        <v>0.5</v>
      </c>
      <c r="P436" s="208" t="s">
        <v>112</v>
      </c>
      <c r="Q436" s="240">
        <f t="shared" si="90"/>
        <v>0.25600000000000001</v>
      </c>
      <c r="R436" s="239">
        <v>1</v>
      </c>
      <c r="S436" s="240">
        <f t="shared" si="91"/>
        <v>1.26</v>
      </c>
      <c r="T436" s="216" t="s">
        <v>48</v>
      </c>
      <c r="U436" s="196" t="str">
        <f t="shared" si="92"/>
        <v>1.26 Hrs</v>
      </c>
    </row>
    <row r="437" spans="3:21" s="185" customFormat="1" ht="20.25" customHeight="1">
      <c r="C437" s="198"/>
      <c r="D437" s="203">
        <f t="shared" si="86"/>
        <v>437</v>
      </c>
      <c r="E437" s="207" t="s">
        <v>432</v>
      </c>
      <c r="F437" s="211">
        <f t="shared" si="89"/>
        <v>436</v>
      </c>
      <c r="G437" s="206" t="s">
        <v>286</v>
      </c>
      <c r="H437" s="206"/>
      <c r="I437" s="224">
        <v>18</v>
      </c>
      <c r="J437" s="211" t="str">
        <f t="shared" si="97"/>
        <v>512 mm</v>
      </c>
      <c r="K437" s="234">
        <v>1</v>
      </c>
      <c r="L437" s="208" t="s">
        <v>81</v>
      </c>
      <c r="M437" s="217">
        <v>1</v>
      </c>
      <c r="N437" s="208" t="s">
        <v>81</v>
      </c>
      <c r="O437" s="218">
        <v>3</v>
      </c>
      <c r="P437" s="208" t="s">
        <v>112</v>
      </c>
      <c r="Q437" s="240">
        <f t="shared" si="90"/>
        <v>3</v>
      </c>
      <c r="R437" s="239">
        <v>1</v>
      </c>
      <c r="S437" s="240">
        <f t="shared" si="91"/>
        <v>4</v>
      </c>
      <c r="T437" s="216" t="s">
        <v>48</v>
      </c>
      <c r="U437" s="196" t="str">
        <f t="shared" si="92"/>
        <v>4 Hrs</v>
      </c>
    </row>
    <row r="438" spans="3:21" s="185" customFormat="1" ht="20.25" customHeight="1">
      <c r="C438" s="198">
        <f>D438</f>
        <v>438</v>
      </c>
      <c r="D438" s="203">
        <f t="shared" si="86"/>
        <v>438</v>
      </c>
      <c r="E438" s="209" t="s">
        <v>433</v>
      </c>
      <c r="F438" s="210">
        <f>D431</f>
        <v>431</v>
      </c>
      <c r="G438" s="206"/>
      <c r="H438" s="206"/>
      <c r="I438" s="208"/>
      <c r="J438" s="208"/>
      <c r="K438" s="234"/>
      <c r="L438" s="208"/>
      <c r="M438" s="217"/>
      <c r="N438" s="208"/>
      <c r="O438" s="218"/>
      <c r="P438" s="208"/>
      <c r="Q438" s="240"/>
      <c r="R438" s="239"/>
      <c r="S438" s="240"/>
      <c r="T438" s="216"/>
      <c r="U438" s="196"/>
    </row>
    <row r="439" spans="3:21" s="185" customFormat="1" ht="20.25" customHeight="1">
      <c r="C439" s="198"/>
      <c r="D439" s="203">
        <f t="shared" si="86"/>
        <v>439</v>
      </c>
      <c r="E439" s="207" t="s">
        <v>434</v>
      </c>
      <c r="F439" s="211"/>
      <c r="G439" s="206" t="s">
        <v>312</v>
      </c>
      <c r="H439" s="206"/>
      <c r="I439" s="224">
        <v>18</v>
      </c>
      <c r="J439" s="211" t="str">
        <f>J437</f>
        <v>512 mm</v>
      </c>
      <c r="K439" s="234">
        <v>1</v>
      </c>
      <c r="L439" s="208" t="s">
        <v>39</v>
      </c>
      <c r="M439" s="217">
        <v>1</v>
      </c>
      <c r="N439" s="208" t="s">
        <v>39</v>
      </c>
      <c r="O439" s="218">
        <v>1</v>
      </c>
      <c r="P439" s="208" t="s">
        <v>435</v>
      </c>
      <c r="Q439" s="240">
        <f t="shared" si="90"/>
        <v>1</v>
      </c>
      <c r="R439" s="239"/>
      <c r="S439" s="240">
        <f t="shared" si="91"/>
        <v>1</v>
      </c>
      <c r="T439" s="216" t="s">
        <v>42</v>
      </c>
      <c r="U439" s="196" t="str">
        <f t="shared" si="92"/>
        <v>1 Days</v>
      </c>
    </row>
    <row r="440" spans="3:21" s="185" customFormat="1" ht="20.25" customHeight="1">
      <c r="C440" s="198">
        <f>D440</f>
        <v>440</v>
      </c>
      <c r="D440" s="203">
        <f t="shared" si="86"/>
        <v>440</v>
      </c>
      <c r="E440" s="209" t="s">
        <v>436</v>
      </c>
      <c r="F440" s="210">
        <f>D438</f>
        <v>438</v>
      </c>
      <c r="G440" s="206"/>
      <c r="H440" s="206"/>
      <c r="I440" s="208"/>
      <c r="J440" s="208"/>
      <c r="K440" s="234"/>
      <c r="L440" s="208"/>
      <c r="M440" s="217"/>
      <c r="N440" s="208"/>
      <c r="O440" s="218"/>
      <c r="P440" s="208"/>
      <c r="Q440" s="240"/>
      <c r="R440" s="239"/>
      <c r="S440" s="240"/>
      <c r="T440" s="216"/>
      <c r="U440" s="196"/>
    </row>
    <row r="441" spans="3:21" s="185" customFormat="1" ht="20.25" customHeight="1">
      <c r="C441" s="198"/>
      <c r="D441" s="203">
        <f t="shared" si="86"/>
        <v>441</v>
      </c>
      <c r="E441" s="207" t="s">
        <v>437</v>
      </c>
      <c r="F441" s="211"/>
      <c r="G441" s="206" t="s">
        <v>348</v>
      </c>
      <c r="H441" s="206"/>
      <c r="I441" s="233">
        <f>I439</f>
        <v>18</v>
      </c>
      <c r="J441" s="252" t="s">
        <v>1250</v>
      </c>
      <c r="K441" s="234">
        <v>1</v>
      </c>
      <c r="L441" s="208" t="s">
        <v>81</v>
      </c>
      <c r="M441" s="227">
        <f>LEFT(J441,SEARCH(" ",J441,1)-1)*K441*3.142*0.001*2</f>
        <v>3.9275000000000002</v>
      </c>
      <c r="N441" s="208" t="s">
        <v>139</v>
      </c>
      <c r="O441" s="246">
        <f>VLOOKUP(I441,BM!$A$2:$X$104,13,FALSE)</f>
        <v>0.45</v>
      </c>
      <c r="P441" s="208" t="s">
        <v>112</v>
      </c>
      <c r="Q441" s="240">
        <f t="shared" si="90"/>
        <v>1.7673750000000001</v>
      </c>
      <c r="R441" s="239">
        <v>1</v>
      </c>
      <c r="S441" s="240">
        <f t="shared" si="91"/>
        <v>2.77</v>
      </c>
      <c r="T441" s="216" t="s">
        <v>48</v>
      </c>
      <c r="U441" s="196" t="str">
        <f t="shared" si="92"/>
        <v>2.77 Hrs</v>
      </c>
    </row>
    <row r="442" spans="3:21" s="185" customFormat="1" ht="20.25" customHeight="1">
      <c r="C442" s="198"/>
      <c r="D442" s="203">
        <f t="shared" si="86"/>
        <v>442</v>
      </c>
      <c r="E442" s="207" t="s">
        <v>438</v>
      </c>
      <c r="F442" s="211">
        <f t="shared" si="89"/>
        <v>441</v>
      </c>
      <c r="G442" s="206" t="s">
        <v>111</v>
      </c>
      <c r="H442" s="206"/>
      <c r="I442" s="224">
        <v>18</v>
      </c>
      <c r="J442" s="208" t="str">
        <f>J441</f>
        <v>625 mm id</v>
      </c>
      <c r="K442" s="234">
        <v>1</v>
      </c>
      <c r="L442" s="208" t="s">
        <v>81</v>
      </c>
      <c r="M442" s="227">
        <f>LEFT(J442,SEARCH(" ",J442,1)-1)*K442*3.142*0.001</f>
        <v>1.9637500000000001</v>
      </c>
      <c r="N442" s="208" t="s">
        <v>139</v>
      </c>
      <c r="O442" s="246">
        <f>VLOOKUP(I442,BM!$A$2:$X$104,16,FALSE)</f>
        <v>1</v>
      </c>
      <c r="P442" s="208" t="s">
        <v>112</v>
      </c>
      <c r="Q442" s="240">
        <f t="shared" si="90"/>
        <v>1.9637500000000001</v>
      </c>
      <c r="R442" s="239">
        <v>1</v>
      </c>
      <c r="S442" s="240">
        <f t="shared" si="91"/>
        <v>2.96</v>
      </c>
      <c r="T442" s="216" t="s">
        <v>48</v>
      </c>
      <c r="U442" s="196" t="str">
        <f t="shared" si="92"/>
        <v>2.96 Hrs</v>
      </c>
    </row>
    <row r="443" spans="3:21" s="185" customFormat="1" ht="20.25" customHeight="1">
      <c r="C443" s="198"/>
      <c r="D443" s="203">
        <f t="shared" si="86"/>
        <v>443</v>
      </c>
      <c r="E443" s="207" t="s">
        <v>439</v>
      </c>
      <c r="F443" s="211">
        <f t="shared" si="89"/>
        <v>442</v>
      </c>
      <c r="G443" s="206" t="s">
        <v>44</v>
      </c>
      <c r="H443" s="206"/>
      <c r="I443" s="224">
        <v>18</v>
      </c>
      <c r="J443" s="208" t="str">
        <f>J442</f>
        <v>625 mm id</v>
      </c>
      <c r="K443" s="234">
        <v>1</v>
      </c>
      <c r="L443" s="208" t="s">
        <v>81</v>
      </c>
      <c r="M443" s="217">
        <v>1</v>
      </c>
      <c r="N443" s="208" t="s">
        <v>139</v>
      </c>
      <c r="O443" s="218">
        <v>4</v>
      </c>
      <c r="P443" s="208" t="s">
        <v>112</v>
      </c>
      <c r="Q443" s="240">
        <f t="shared" si="90"/>
        <v>4</v>
      </c>
      <c r="R443" s="239">
        <v>1</v>
      </c>
      <c r="S443" s="240">
        <f t="shared" si="91"/>
        <v>5</v>
      </c>
      <c r="T443" s="216" t="s">
        <v>48</v>
      </c>
      <c r="U443" s="196" t="str">
        <f t="shared" si="92"/>
        <v>5 Hrs</v>
      </c>
    </row>
    <row r="444" spans="3:21" s="185" customFormat="1" ht="20.25" customHeight="1">
      <c r="C444" s="198">
        <f>D444</f>
        <v>444</v>
      </c>
      <c r="D444" s="203">
        <f t="shared" si="86"/>
        <v>444</v>
      </c>
      <c r="E444" s="209" t="s">
        <v>440</v>
      </c>
      <c r="F444" s="210">
        <f>D440</f>
        <v>440</v>
      </c>
      <c r="G444" s="206"/>
      <c r="H444" s="206"/>
      <c r="I444" s="208"/>
      <c r="J444" s="208"/>
      <c r="K444" s="234"/>
      <c r="L444" s="208"/>
      <c r="M444" s="217"/>
      <c r="N444" s="208"/>
      <c r="O444" s="218"/>
      <c r="P444" s="208"/>
      <c r="Q444" s="240"/>
      <c r="R444" s="239"/>
      <c r="S444" s="240"/>
      <c r="T444" s="216"/>
      <c r="U444" s="196"/>
    </row>
    <row r="445" spans="3:21" s="185" customFormat="1" ht="20.25" customHeight="1">
      <c r="C445" s="198"/>
      <c r="D445" s="203">
        <f t="shared" si="86"/>
        <v>445</v>
      </c>
      <c r="E445" s="207" t="s">
        <v>441</v>
      </c>
      <c r="F445" s="211"/>
      <c r="G445" s="206" t="s">
        <v>201</v>
      </c>
      <c r="H445" s="206"/>
      <c r="I445" s="224">
        <v>18</v>
      </c>
      <c r="J445" s="208" t="str">
        <f>J443</f>
        <v>625 mm id</v>
      </c>
      <c r="K445" s="234">
        <v>1</v>
      </c>
      <c r="L445" s="208" t="s">
        <v>81</v>
      </c>
      <c r="M445" s="217">
        <v>1</v>
      </c>
      <c r="N445" s="208" t="s">
        <v>39</v>
      </c>
      <c r="O445" s="218">
        <v>1</v>
      </c>
      <c r="P445" s="208" t="s">
        <v>112</v>
      </c>
      <c r="Q445" s="240">
        <f t="shared" si="90"/>
        <v>1</v>
      </c>
      <c r="R445" s="239">
        <v>1</v>
      </c>
      <c r="S445" s="240">
        <f t="shared" si="91"/>
        <v>2</v>
      </c>
      <c r="T445" s="216" t="s">
        <v>48</v>
      </c>
      <c r="U445" s="196" t="str">
        <f t="shared" si="92"/>
        <v>2 Hrs</v>
      </c>
    </row>
    <row r="446" spans="3:21" s="185" customFormat="1" ht="20.25" customHeight="1">
      <c r="C446" s="198"/>
      <c r="D446" s="203">
        <f t="shared" si="86"/>
        <v>446</v>
      </c>
      <c r="E446" s="207" t="s">
        <v>442</v>
      </c>
      <c r="F446" s="211">
        <f t="shared" si="89"/>
        <v>445</v>
      </c>
      <c r="G446" s="206" t="s">
        <v>115</v>
      </c>
      <c r="H446" s="206"/>
      <c r="I446" s="224">
        <v>12</v>
      </c>
      <c r="J446" s="208" t="str">
        <f>J445</f>
        <v>625 mm id</v>
      </c>
      <c r="K446" s="234">
        <v>1</v>
      </c>
      <c r="L446" s="208" t="s">
        <v>81</v>
      </c>
      <c r="M446" s="227">
        <f t="shared" ref="M446:M454" si="99">LEFT(J446,SEARCH(" ",J446,1)-1)*K446*3.142*0.001</f>
        <v>1.9637500000000001</v>
      </c>
      <c r="N446" s="208" t="s">
        <v>249</v>
      </c>
      <c r="O446" s="246">
        <f>VLOOKUP(I446,BM!$A$2:$X$104,17,FALSE)</f>
        <v>2.5</v>
      </c>
      <c r="P446" s="208" t="s">
        <v>112</v>
      </c>
      <c r="Q446" s="240">
        <f t="shared" si="90"/>
        <v>4.9093750000000007</v>
      </c>
      <c r="R446" s="239">
        <v>1</v>
      </c>
      <c r="S446" s="240">
        <f t="shared" si="91"/>
        <v>5.91</v>
      </c>
      <c r="T446" s="216" t="s">
        <v>48</v>
      </c>
      <c r="U446" s="196" t="str">
        <f t="shared" si="92"/>
        <v>5.91 Hrs</v>
      </c>
    </row>
    <row r="447" spans="3:21" s="185" customFormat="1" ht="20.25" customHeight="1">
      <c r="C447" s="198"/>
      <c r="D447" s="203">
        <f t="shared" si="86"/>
        <v>447</v>
      </c>
      <c r="E447" s="207" t="s">
        <v>443</v>
      </c>
      <c r="F447" s="211">
        <f t="shared" si="89"/>
        <v>446</v>
      </c>
      <c r="G447" s="206" t="s">
        <v>61</v>
      </c>
      <c r="H447" s="206"/>
      <c r="I447" s="224">
        <v>18</v>
      </c>
      <c r="J447" s="208" t="str">
        <f>J446</f>
        <v>625 mm id</v>
      </c>
      <c r="K447" s="234">
        <v>1</v>
      </c>
      <c r="L447" s="208" t="s">
        <v>81</v>
      </c>
      <c r="M447" s="227">
        <f t="shared" si="99"/>
        <v>1.9637500000000001</v>
      </c>
      <c r="N447" s="208" t="s">
        <v>249</v>
      </c>
      <c r="O447" s="246">
        <f>VLOOKUP(I447,BM!$A$2:$X$104,18,FALSE)</f>
        <v>1</v>
      </c>
      <c r="P447" s="208" t="s">
        <v>112</v>
      </c>
      <c r="Q447" s="240">
        <f t="shared" si="90"/>
        <v>1.9637500000000001</v>
      </c>
      <c r="R447" s="239">
        <v>1</v>
      </c>
      <c r="S447" s="240">
        <f t="shared" si="91"/>
        <v>2.96</v>
      </c>
      <c r="T447" s="216" t="s">
        <v>48</v>
      </c>
      <c r="U447" s="196" t="str">
        <f t="shared" si="92"/>
        <v>2.96 Hrs</v>
      </c>
    </row>
    <row r="448" spans="3:21" s="185" customFormat="1" ht="20.25" customHeight="1">
      <c r="C448" s="198"/>
      <c r="D448" s="203">
        <f t="shared" si="86"/>
        <v>448</v>
      </c>
      <c r="E448" s="207" t="s">
        <v>444</v>
      </c>
      <c r="F448" s="211">
        <f t="shared" si="89"/>
        <v>447</v>
      </c>
      <c r="G448" s="206" t="s">
        <v>115</v>
      </c>
      <c r="H448" s="206"/>
      <c r="I448" s="224">
        <v>8</v>
      </c>
      <c r="J448" s="208" t="str">
        <f>J447</f>
        <v>625 mm id</v>
      </c>
      <c r="K448" s="234">
        <v>1</v>
      </c>
      <c r="L448" s="208" t="s">
        <v>81</v>
      </c>
      <c r="M448" s="227">
        <f t="shared" si="99"/>
        <v>1.9637500000000001</v>
      </c>
      <c r="N448" s="208" t="s">
        <v>249</v>
      </c>
      <c r="O448" s="246">
        <f>VLOOKUP(I448,BM!$A$2:$X$104,17,FALSE)</f>
        <v>1.36</v>
      </c>
      <c r="P448" s="208" t="s">
        <v>112</v>
      </c>
      <c r="Q448" s="240">
        <f t="shared" si="90"/>
        <v>2.6707000000000005</v>
      </c>
      <c r="R448" s="239">
        <v>1</v>
      </c>
      <c r="S448" s="240">
        <f t="shared" si="91"/>
        <v>3.67</v>
      </c>
      <c r="T448" s="216" t="s">
        <v>48</v>
      </c>
      <c r="U448" s="196" t="str">
        <f t="shared" si="92"/>
        <v>3.67 Hrs</v>
      </c>
    </row>
    <row r="449" spans="3:21" s="185" customFormat="1" ht="20.25" customHeight="1">
      <c r="C449" s="198"/>
      <c r="D449" s="203">
        <f t="shared" si="86"/>
        <v>449</v>
      </c>
      <c r="E449" s="207" t="s">
        <v>445</v>
      </c>
      <c r="F449" s="211">
        <f t="shared" si="89"/>
        <v>448</v>
      </c>
      <c r="G449" s="206" t="s">
        <v>61</v>
      </c>
      <c r="H449" s="206"/>
      <c r="I449" s="224">
        <v>18</v>
      </c>
      <c r="J449" s="208" t="str">
        <f>J448</f>
        <v>625 mm id</v>
      </c>
      <c r="K449" s="234">
        <v>1</v>
      </c>
      <c r="L449" s="208" t="s">
        <v>81</v>
      </c>
      <c r="M449" s="227">
        <f t="shared" si="99"/>
        <v>1.9637500000000001</v>
      </c>
      <c r="N449" s="208" t="s">
        <v>249</v>
      </c>
      <c r="O449" s="246">
        <f>VLOOKUP(I449,BM!$A$2:$X$104,20,FALSE)</f>
        <v>0.5</v>
      </c>
      <c r="P449" s="208" t="s">
        <v>112</v>
      </c>
      <c r="Q449" s="240">
        <f t="shared" si="90"/>
        <v>0.98187500000000005</v>
      </c>
      <c r="R449" s="239">
        <v>1</v>
      </c>
      <c r="S449" s="240">
        <f t="shared" si="91"/>
        <v>1.98</v>
      </c>
      <c r="T449" s="216" t="s">
        <v>48</v>
      </c>
      <c r="U449" s="196" t="str">
        <f t="shared" si="92"/>
        <v>1.98 Hrs</v>
      </c>
    </row>
    <row r="450" spans="3:21" s="185" customFormat="1" ht="20.25" customHeight="1">
      <c r="C450" s="198">
        <f>D450</f>
        <v>450</v>
      </c>
      <c r="D450" s="203">
        <f t="shared" si="86"/>
        <v>450</v>
      </c>
      <c r="E450" s="209" t="s">
        <v>446</v>
      </c>
      <c r="F450" s="210">
        <f>D444</f>
        <v>444</v>
      </c>
      <c r="G450" s="206"/>
      <c r="H450" s="206"/>
      <c r="I450" s="208"/>
      <c r="J450" s="208"/>
      <c r="K450" s="234"/>
      <c r="L450" s="208"/>
      <c r="M450" s="217"/>
      <c r="N450" s="208"/>
      <c r="O450" s="218"/>
      <c r="P450" s="208"/>
      <c r="Q450" s="240"/>
      <c r="R450" s="239"/>
      <c r="S450" s="240"/>
      <c r="T450" s="216"/>
      <c r="U450" s="196"/>
    </row>
    <row r="451" spans="3:21" s="185" customFormat="1" ht="20.25" customHeight="1">
      <c r="C451" s="198"/>
      <c r="D451" s="203">
        <f t="shared" ref="D451:D514" si="100">D450+1</f>
        <v>451</v>
      </c>
      <c r="E451" s="207" t="s">
        <v>447</v>
      </c>
      <c r="F451" s="211"/>
      <c r="G451" s="206" t="s">
        <v>52</v>
      </c>
      <c r="H451" s="206"/>
      <c r="I451" s="224">
        <f>I445</f>
        <v>18</v>
      </c>
      <c r="J451" s="208" t="str">
        <f>J449</f>
        <v>625 mm id</v>
      </c>
      <c r="K451" s="234">
        <v>1</v>
      </c>
      <c r="L451" s="208" t="s">
        <v>81</v>
      </c>
      <c r="M451" s="227">
        <f t="shared" si="99"/>
        <v>1.9637500000000001</v>
      </c>
      <c r="N451" s="208" t="s">
        <v>139</v>
      </c>
      <c r="O451" s="246">
        <f>VLOOKUP(I451,BM!$A$2:$X$104,14,FALSE)</f>
        <v>0.5</v>
      </c>
      <c r="P451" s="208" t="s">
        <v>112</v>
      </c>
      <c r="Q451" s="240">
        <f t="shared" si="90"/>
        <v>0.98187500000000005</v>
      </c>
      <c r="R451" s="239">
        <v>1</v>
      </c>
      <c r="S451" s="240">
        <f t="shared" si="91"/>
        <v>1.98</v>
      </c>
      <c r="T451" s="216" t="s">
        <v>48</v>
      </c>
      <c r="U451" s="196" t="str">
        <f t="shared" si="92"/>
        <v>1.98 Hrs</v>
      </c>
    </row>
    <row r="452" spans="3:21" s="185" customFormat="1" ht="20.25" customHeight="1">
      <c r="C452" s="198"/>
      <c r="D452" s="203">
        <f t="shared" si="100"/>
        <v>452</v>
      </c>
      <c r="E452" s="207" t="s">
        <v>437</v>
      </c>
      <c r="F452" s="211">
        <f t="shared" si="89"/>
        <v>451</v>
      </c>
      <c r="G452" s="206" t="s">
        <v>44</v>
      </c>
      <c r="H452" s="206"/>
      <c r="I452" s="224">
        <f>I446</f>
        <v>12</v>
      </c>
      <c r="J452" s="208" t="str">
        <f>J451</f>
        <v>625 mm id</v>
      </c>
      <c r="K452" s="234">
        <v>1</v>
      </c>
      <c r="L452" s="208" t="s">
        <v>81</v>
      </c>
      <c r="M452" s="227">
        <f t="shared" si="99"/>
        <v>1.9637500000000001</v>
      </c>
      <c r="N452" s="208" t="s">
        <v>139</v>
      </c>
      <c r="O452" s="246">
        <f>VLOOKUP(I452,BM!$A$2:$X$104,15,FALSE)</f>
        <v>1</v>
      </c>
      <c r="P452" s="208" t="s">
        <v>112</v>
      </c>
      <c r="Q452" s="240">
        <f t="shared" si="90"/>
        <v>1.9637500000000001</v>
      </c>
      <c r="R452" s="239">
        <v>1</v>
      </c>
      <c r="S452" s="240">
        <f t="shared" si="91"/>
        <v>2.96</v>
      </c>
      <c r="T452" s="216" t="s">
        <v>48</v>
      </c>
      <c r="U452" s="196" t="str">
        <f t="shared" si="92"/>
        <v>2.96 Hrs</v>
      </c>
    </row>
    <row r="453" spans="3:21" s="185" customFormat="1" ht="20.25" customHeight="1">
      <c r="C453" s="198"/>
      <c r="D453" s="203">
        <f t="shared" si="100"/>
        <v>453</v>
      </c>
      <c r="E453" s="207" t="s">
        <v>448</v>
      </c>
      <c r="F453" s="211">
        <f t="shared" si="89"/>
        <v>452</v>
      </c>
      <c r="G453" s="206" t="s">
        <v>111</v>
      </c>
      <c r="H453" s="206"/>
      <c r="I453" s="224">
        <f>I448</f>
        <v>8</v>
      </c>
      <c r="J453" s="208" t="str">
        <f>J452</f>
        <v>625 mm id</v>
      </c>
      <c r="K453" s="234">
        <v>1</v>
      </c>
      <c r="L453" s="208" t="s">
        <v>81</v>
      </c>
      <c r="M453" s="227">
        <f t="shared" si="99"/>
        <v>1.9637500000000001</v>
      </c>
      <c r="N453" s="208" t="s">
        <v>139</v>
      </c>
      <c r="O453" s="218">
        <v>4</v>
      </c>
      <c r="P453" s="208" t="s">
        <v>112</v>
      </c>
      <c r="Q453" s="240">
        <f t="shared" si="90"/>
        <v>7.8550000000000004</v>
      </c>
      <c r="R453" s="239">
        <v>1</v>
      </c>
      <c r="S453" s="240">
        <f t="shared" si="91"/>
        <v>8.86</v>
      </c>
      <c r="T453" s="216" t="s">
        <v>48</v>
      </c>
      <c r="U453" s="196" t="str">
        <f t="shared" si="92"/>
        <v>8.86 Hrs</v>
      </c>
    </row>
    <row r="454" spans="3:21" s="185" customFormat="1" ht="20.25" customHeight="1">
      <c r="C454" s="198"/>
      <c r="D454" s="203">
        <f t="shared" si="100"/>
        <v>454</v>
      </c>
      <c r="E454" s="207" t="s">
        <v>439</v>
      </c>
      <c r="F454" s="211">
        <f t="shared" si="89"/>
        <v>453</v>
      </c>
      <c r="G454" s="206" t="s">
        <v>63</v>
      </c>
      <c r="H454" s="206"/>
      <c r="I454" s="224">
        <v>18</v>
      </c>
      <c r="J454" s="208" t="str">
        <f>J453</f>
        <v>625 mm id</v>
      </c>
      <c r="K454" s="234">
        <v>1</v>
      </c>
      <c r="L454" s="208" t="s">
        <v>81</v>
      </c>
      <c r="M454" s="227">
        <f t="shared" si="99"/>
        <v>1.9637500000000001</v>
      </c>
      <c r="N454" s="208" t="s">
        <v>139</v>
      </c>
      <c r="O454" s="218">
        <v>0.5</v>
      </c>
      <c r="P454" s="208" t="s">
        <v>112</v>
      </c>
      <c r="Q454" s="240">
        <f t="shared" si="90"/>
        <v>0.98187500000000005</v>
      </c>
      <c r="R454" s="239">
        <v>1</v>
      </c>
      <c r="S454" s="240">
        <f t="shared" si="91"/>
        <v>1.98</v>
      </c>
      <c r="T454" s="216" t="s">
        <v>48</v>
      </c>
      <c r="U454" s="196" t="str">
        <f t="shared" si="92"/>
        <v>1.98 Hrs</v>
      </c>
    </row>
    <row r="455" spans="3:21" s="185" customFormat="1" ht="20.25" customHeight="1">
      <c r="C455" s="198">
        <f>D455</f>
        <v>455</v>
      </c>
      <c r="D455" s="203">
        <f t="shared" si="100"/>
        <v>455</v>
      </c>
      <c r="E455" s="209" t="s">
        <v>449</v>
      </c>
      <c r="F455" s="210">
        <f>D450</f>
        <v>450</v>
      </c>
      <c r="G455" s="208"/>
      <c r="H455" s="208"/>
      <c r="I455" s="208"/>
      <c r="J455" s="208"/>
      <c r="K455" s="234"/>
      <c r="L455" s="208"/>
      <c r="M455" s="217"/>
      <c r="N455" s="208"/>
      <c r="O455" s="218"/>
      <c r="P455" s="208"/>
      <c r="Q455" s="240"/>
      <c r="R455" s="239"/>
      <c r="S455" s="240"/>
      <c r="T455" s="216"/>
      <c r="U455" s="196"/>
    </row>
    <row r="456" spans="3:21" s="185" customFormat="1" ht="20.25" customHeight="1">
      <c r="C456" s="198"/>
      <c r="D456" s="203">
        <f t="shared" si="100"/>
        <v>456</v>
      </c>
      <c r="E456" s="207" t="s">
        <v>450</v>
      </c>
      <c r="F456" s="211"/>
      <c r="G456" s="206" t="s">
        <v>201</v>
      </c>
      <c r="H456" s="206"/>
      <c r="I456" s="224">
        <v>12</v>
      </c>
      <c r="J456" s="208" t="str">
        <f>J454</f>
        <v>625 mm id</v>
      </c>
      <c r="K456" s="234">
        <v>1</v>
      </c>
      <c r="L456" s="208" t="s">
        <v>81</v>
      </c>
      <c r="M456" s="217">
        <v>1</v>
      </c>
      <c r="N456" s="208" t="s">
        <v>249</v>
      </c>
      <c r="O456" s="218">
        <v>1</v>
      </c>
      <c r="P456" s="208" t="s">
        <v>112</v>
      </c>
      <c r="Q456" s="240">
        <f t="shared" si="90"/>
        <v>1</v>
      </c>
      <c r="R456" s="239">
        <v>1</v>
      </c>
      <c r="S456" s="240">
        <f t="shared" si="91"/>
        <v>2</v>
      </c>
      <c r="T456" s="216" t="s">
        <v>48</v>
      </c>
      <c r="U456" s="196" t="str">
        <f t="shared" si="92"/>
        <v>2 Hrs</v>
      </c>
    </row>
    <row r="457" spans="3:21" s="185" customFormat="1" ht="20.25" customHeight="1">
      <c r="C457" s="198"/>
      <c r="D457" s="203">
        <f t="shared" si="100"/>
        <v>457</v>
      </c>
      <c r="E457" s="207" t="s">
        <v>451</v>
      </c>
      <c r="F457" s="211">
        <f t="shared" si="89"/>
        <v>456</v>
      </c>
      <c r="G457" s="206" t="s">
        <v>115</v>
      </c>
      <c r="H457" s="206"/>
      <c r="I457" s="224">
        <v>12</v>
      </c>
      <c r="J457" s="208" t="str">
        <f>J456</f>
        <v>625 mm id</v>
      </c>
      <c r="K457" s="234">
        <v>1</v>
      </c>
      <c r="L457" s="208" t="s">
        <v>81</v>
      </c>
      <c r="M457" s="227">
        <f t="shared" ref="M457:M460" si="101">LEFT(J457,SEARCH(" ",J457,1)-1)*K457*3.142*0.001</f>
        <v>1.9637500000000001</v>
      </c>
      <c r="N457" s="208" t="s">
        <v>249</v>
      </c>
      <c r="O457" s="246">
        <f>VLOOKUP(I457,BM!$A$2:$X$104,17,FALSE)</f>
        <v>2.5</v>
      </c>
      <c r="P457" s="208" t="s">
        <v>112</v>
      </c>
      <c r="Q457" s="240">
        <f t="shared" si="90"/>
        <v>4.9093750000000007</v>
      </c>
      <c r="R457" s="239">
        <v>1</v>
      </c>
      <c r="S457" s="240">
        <f t="shared" si="91"/>
        <v>5.91</v>
      </c>
      <c r="T457" s="216" t="s">
        <v>48</v>
      </c>
      <c r="U457" s="196" t="str">
        <f t="shared" si="92"/>
        <v>5.91 Hrs</v>
      </c>
    </row>
    <row r="458" spans="3:21" s="185" customFormat="1" ht="20.25" customHeight="1">
      <c r="C458" s="198"/>
      <c r="D458" s="203">
        <f t="shared" si="100"/>
        <v>458</v>
      </c>
      <c r="E458" s="207" t="s">
        <v>452</v>
      </c>
      <c r="F458" s="211">
        <f t="shared" si="89"/>
        <v>457</v>
      </c>
      <c r="G458" s="206" t="s">
        <v>61</v>
      </c>
      <c r="H458" s="206"/>
      <c r="I458" s="224">
        <v>18</v>
      </c>
      <c r="J458" s="208" t="str">
        <f>J457</f>
        <v>625 mm id</v>
      </c>
      <c r="K458" s="234">
        <v>1</v>
      </c>
      <c r="L458" s="208" t="s">
        <v>81</v>
      </c>
      <c r="M458" s="227">
        <f t="shared" si="101"/>
        <v>1.9637500000000001</v>
      </c>
      <c r="N458" s="208" t="s">
        <v>249</v>
      </c>
      <c r="O458" s="246">
        <f>VLOOKUP(I458,BM!$A$2:$X$104,18,FALSE)</f>
        <v>1</v>
      </c>
      <c r="P458" s="208" t="s">
        <v>112</v>
      </c>
      <c r="Q458" s="240">
        <f t="shared" si="90"/>
        <v>1.9637500000000001</v>
      </c>
      <c r="R458" s="239">
        <v>1</v>
      </c>
      <c r="S458" s="240">
        <f t="shared" si="91"/>
        <v>2.96</v>
      </c>
      <c r="T458" s="216" t="s">
        <v>48</v>
      </c>
      <c r="U458" s="196" t="str">
        <f t="shared" si="92"/>
        <v>2.96 Hrs</v>
      </c>
    </row>
    <row r="459" spans="3:21" s="185" customFormat="1" ht="20.25" customHeight="1">
      <c r="C459" s="198"/>
      <c r="D459" s="203">
        <f t="shared" si="100"/>
        <v>459</v>
      </c>
      <c r="E459" s="207" t="s">
        <v>453</v>
      </c>
      <c r="F459" s="211">
        <f t="shared" si="89"/>
        <v>458</v>
      </c>
      <c r="G459" s="206" t="s">
        <v>115</v>
      </c>
      <c r="H459" s="206"/>
      <c r="I459" s="224">
        <v>6</v>
      </c>
      <c r="J459" s="208" t="str">
        <f>J458</f>
        <v>625 mm id</v>
      </c>
      <c r="K459" s="234">
        <v>1</v>
      </c>
      <c r="L459" s="208" t="s">
        <v>81</v>
      </c>
      <c r="M459" s="227">
        <f t="shared" si="101"/>
        <v>1.9637500000000001</v>
      </c>
      <c r="N459" s="208" t="s">
        <v>249</v>
      </c>
      <c r="O459" s="246">
        <f>VLOOKUP(I459,BM!$A$2:$X$104,17,FALSE)</f>
        <v>0.9</v>
      </c>
      <c r="P459" s="208" t="s">
        <v>112</v>
      </c>
      <c r="Q459" s="240">
        <f t="shared" si="90"/>
        <v>1.7673750000000001</v>
      </c>
      <c r="R459" s="239">
        <v>1</v>
      </c>
      <c r="S459" s="240">
        <f t="shared" si="91"/>
        <v>2.77</v>
      </c>
      <c r="T459" s="216" t="s">
        <v>48</v>
      </c>
      <c r="U459" s="196" t="str">
        <f t="shared" si="92"/>
        <v>2.77 Hrs</v>
      </c>
    </row>
    <row r="460" spans="3:21" s="185" customFormat="1" ht="20.25" customHeight="1">
      <c r="C460" s="198"/>
      <c r="D460" s="203">
        <f t="shared" si="100"/>
        <v>460</v>
      </c>
      <c r="E460" s="207" t="s">
        <v>454</v>
      </c>
      <c r="F460" s="211">
        <f t="shared" si="89"/>
        <v>459</v>
      </c>
      <c r="G460" s="206" t="s">
        <v>61</v>
      </c>
      <c r="H460" s="206"/>
      <c r="I460" s="224">
        <v>18</v>
      </c>
      <c r="J460" s="208" t="str">
        <f>J459</f>
        <v>625 mm id</v>
      </c>
      <c r="K460" s="234">
        <v>1</v>
      </c>
      <c r="L460" s="208" t="s">
        <v>81</v>
      </c>
      <c r="M460" s="227">
        <f t="shared" si="101"/>
        <v>1.9637500000000001</v>
      </c>
      <c r="N460" s="208" t="s">
        <v>249</v>
      </c>
      <c r="O460" s="246">
        <f>VLOOKUP(I460,BM!$A$2:$X$104,20,FALSE)</f>
        <v>0.5</v>
      </c>
      <c r="P460" s="208" t="s">
        <v>112</v>
      </c>
      <c r="Q460" s="240">
        <f t="shared" si="90"/>
        <v>0.98187500000000005</v>
      </c>
      <c r="R460" s="239">
        <v>1</v>
      </c>
      <c r="S460" s="240">
        <f t="shared" si="91"/>
        <v>1.98</v>
      </c>
      <c r="T460" s="216" t="s">
        <v>48</v>
      </c>
      <c r="U460" s="196" t="str">
        <f t="shared" si="92"/>
        <v>1.98 Hrs</v>
      </c>
    </row>
    <row r="461" spans="3:21" s="185" customFormat="1" ht="20.25" customHeight="1">
      <c r="C461" s="198">
        <f>D461</f>
        <v>461</v>
      </c>
      <c r="D461" s="203">
        <f t="shared" si="100"/>
        <v>461</v>
      </c>
      <c r="E461" s="209" t="s">
        <v>455</v>
      </c>
      <c r="F461" s="210">
        <f>C455</f>
        <v>455</v>
      </c>
      <c r="G461" s="206"/>
      <c r="H461" s="206"/>
      <c r="I461" s="208"/>
      <c r="J461" s="208"/>
      <c r="K461" s="234"/>
      <c r="L461" s="208"/>
      <c r="M461" s="217"/>
      <c r="N461" s="208"/>
      <c r="O461" s="218"/>
      <c r="P461" s="208"/>
      <c r="Q461" s="240"/>
      <c r="R461" s="239"/>
      <c r="S461" s="240"/>
      <c r="T461" s="216"/>
      <c r="U461" s="196"/>
    </row>
    <row r="462" spans="3:21" s="185" customFormat="1" ht="20.25" customHeight="1">
      <c r="C462" s="198"/>
      <c r="D462" s="203">
        <f t="shared" si="100"/>
        <v>462</v>
      </c>
      <c r="E462" s="207" t="s">
        <v>456</v>
      </c>
      <c r="F462" s="211"/>
      <c r="G462" s="206" t="s">
        <v>312</v>
      </c>
      <c r="H462" s="206"/>
      <c r="I462" s="224">
        <v>18</v>
      </c>
      <c r="J462" s="208" t="str">
        <f>J460</f>
        <v>625 mm id</v>
      </c>
      <c r="K462" s="234">
        <v>1</v>
      </c>
      <c r="L462" s="208" t="s">
        <v>39</v>
      </c>
      <c r="M462" s="217">
        <v>1</v>
      </c>
      <c r="N462" s="208" t="s">
        <v>457</v>
      </c>
      <c r="O462" s="218">
        <v>1</v>
      </c>
      <c r="P462" s="208" t="s">
        <v>41</v>
      </c>
      <c r="Q462" s="240">
        <f t="shared" si="90"/>
        <v>1</v>
      </c>
      <c r="R462" s="239"/>
      <c r="S462" s="240">
        <f t="shared" si="91"/>
        <v>1</v>
      </c>
      <c r="T462" s="216" t="s">
        <v>42</v>
      </c>
      <c r="U462" s="196" t="str">
        <f t="shared" si="92"/>
        <v>1 Days</v>
      </c>
    </row>
    <row r="463" spans="3:21" s="185" customFormat="1" ht="20.25" customHeight="1">
      <c r="C463" s="198">
        <f>D463</f>
        <v>463</v>
      </c>
      <c r="D463" s="203">
        <f t="shared" si="100"/>
        <v>463</v>
      </c>
      <c r="E463" s="209" t="s">
        <v>458</v>
      </c>
      <c r="F463" s="210">
        <f>C461</f>
        <v>461</v>
      </c>
      <c r="G463" s="206"/>
      <c r="H463" s="206"/>
      <c r="I463" s="208"/>
      <c r="J463" s="208"/>
      <c r="K463" s="234"/>
      <c r="L463" s="208"/>
      <c r="M463" s="217"/>
      <c r="N463" s="208"/>
      <c r="O463" s="218"/>
      <c r="P463" s="208"/>
      <c r="Q463" s="240"/>
      <c r="R463" s="239"/>
      <c r="S463" s="240"/>
      <c r="T463" s="216"/>
      <c r="U463" s="196"/>
    </row>
    <row r="464" spans="3:21" s="185" customFormat="1" ht="20.25" customHeight="1">
      <c r="C464" s="198"/>
      <c r="D464" s="203">
        <f t="shared" si="100"/>
        <v>464</v>
      </c>
      <c r="E464" s="207" t="s">
        <v>459</v>
      </c>
      <c r="F464" s="211"/>
      <c r="G464" s="206" t="s">
        <v>44</v>
      </c>
      <c r="H464" s="206"/>
      <c r="I464" s="224">
        <v>18</v>
      </c>
      <c r="J464" s="208" t="str">
        <f>J462</f>
        <v>625 mm id</v>
      </c>
      <c r="K464" s="234">
        <v>1</v>
      </c>
      <c r="L464" s="208" t="s">
        <v>81</v>
      </c>
      <c r="M464" s="217">
        <v>1</v>
      </c>
      <c r="N464" s="208" t="s">
        <v>81</v>
      </c>
      <c r="O464" s="218">
        <v>4</v>
      </c>
      <c r="P464" s="208" t="s">
        <v>112</v>
      </c>
      <c r="Q464" s="240">
        <f t="shared" si="90"/>
        <v>4</v>
      </c>
      <c r="R464" s="239">
        <v>1</v>
      </c>
      <c r="S464" s="240">
        <f t="shared" si="91"/>
        <v>5</v>
      </c>
      <c r="T464" s="216" t="s">
        <v>48</v>
      </c>
      <c r="U464" s="196" t="str">
        <f t="shared" si="92"/>
        <v>5 Hrs</v>
      </c>
    </row>
    <row r="465" spans="3:21" s="185" customFormat="1" ht="20.25" customHeight="1">
      <c r="C465" s="198"/>
      <c r="D465" s="203">
        <f t="shared" si="100"/>
        <v>465</v>
      </c>
      <c r="E465" s="207" t="s">
        <v>460</v>
      </c>
      <c r="F465" s="211">
        <f t="shared" si="89"/>
        <v>464</v>
      </c>
      <c r="G465" s="206" t="s">
        <v>44</v>
      </c>
      <c r="H465" s="206"/>
      <c r="I465" s="224">
        <v>18</v>
      </c>
      <c r="J465" s="208" t="str">
        <f>J464</f>
        <v>625 mm id</v>
      </c>
      <c r="K465" s="234">
        <v>1</v>
      </c>
      <c r="L465" s="208" t="s">
        <v>81</v>
      </c>
      <c r="M465" s="217">
        <v>1</v>
      </c>
      <c r="N465" s="208" t="s">
        <v>81</v>
      </c>
      <c r="O465" s="218">
        <v>4</v>
      </c>
      <c r="P465" s="208" t="s">
        <v>112</v>
      </c>
      <c r="Q465" s="240">
        <f t="shared" si="90"/>
        <v>4</v>
      </c>
      <c r="R465" s="239">
        <v>1</v>
      </c>
      <c r="S465" s="240">
        <f t="shared" si="91"/>
        <v>5</v>
      </c>
      <c r="T465" s="216" t="s">
        <v>48</v>
      </c>
      <c r="U465" s="196" t="str">
        <f t="shared" si="92"/>
        <v>5 Hrs</v>
      </c>
    </row>
    <row r="466" spans="3:21" s="185" customFormat="1" ht="20.25" customHeight="1">
      <c r="C466" s="198">
        <f>D466</f>
        <v>466</v>
      </c>
      <c r="D466" s="203">
        <f t="shared" si="100"/>
        <v>466</v>
      </c>
      <c r="E466" s="209" t="s">
        <v>461</v>
      </c>
      <c r="F466" s="210">
        <f>C463</f>
        <v>463</v>
      </c>
      <c r="G466" s="206"/>
      <c r="H466" s="206"/>
      <c r="I466" s="208"/>
      <c r="J466" s="208"/>
      <c r="K466" s="234"/>
      <c r="L466" s="208"/>
      <c r="M466" s="217"/>
      <c r="N466" s="208"/>
      <c r="O466" s="218"/>
      <c r="P466" s="208"/>
      <c r="Q466" s="240"/>
      <c r="R466" s="239"/>
      <c r="S466" s="240"/>
      <c r="T466" s="216"/>
      <c r="U466" s="196"/>
    </row>
    <row r="467" spans="3:21" s="185" customFormat="1" ht="20.25" customHeight="1">
      <c r="C467" s="198"/>
      <c r="D467" s="203">
        <f t="shared" si="100"/>
        <v>467</v>
      </c>
      <c r="E467" s="207" t="s">
        <v>462</v>
      </c>
      <c r="F467" s="211"/>
      <c r="G467" s="206" t="s">
        <v>52</v>
      </c>
      <c r="H467" s="206"/>
      <c r="I467" s="208"/>
      <c r="J467" s="253" t="s">
        <v>1254</v>
      </c>
      <c r="K467" s="234">
        <v>1</v>
      </c>
      <c r="L467" s="208" t="s">
        <v>39</v>
      </c>
      <c r="M467" s="217">
        <v>1</v>
      </c>
      <c r="N467" s="208"/>
      <c r="O467" s="246" t="e">
        <f>VLOOKUP(J467,BM!$A$2:$X$104,2,FALSE)</f>
        <v>#N/A</v>
      </c>
      <c r="P467" s="208" t="s">
        <v>112</v>
      </c>
      <c r="Q467" s="240" t="e">
        <f t="shared" si="90"/>
        <v>#N/A</v>
      </c>
      <c r="R467" s="239">
        <v>1</v>
      </c>
      <c r="S467" s="240" t="e">
        <f t="shared" si="91"/>
        <v>#N/A</v>
      </c>
      <c r="T467" s="216" t="s">
        <v>48</v>
      </c>
      <c r="U467" s="196" t="e">
        <f t="shared" si="92"/>
        <v>#N/A</v>
      </c>
    </row>
    <row r="468" spans="3:21" s="185" customFormat="1" ht="20.25" customHeight="1">
      <c r="C468" s="198"/>
      <c r="D468" s="203">
        <f t="shared" si="100"/>
        <v>468</v>
      </c>
      <c r="E468" s="207" t="s">
        <v>464</v>
      </c>
      <c r="F468" s="211">
        <f t="shared" si="89"/>
        <v>467</v>
      </c>
      <c r="G468" s="206" t="s">
        <v>52</v>
      </c>
      <c r="H468" s="206"/>
      <c r="I468" s="208"/>
      <c r="J468" s="234" t="s">
        <v>463</v>
      </c>
      <c r="K468" s="234">
        <v>1</v>
      </c>
      <c r="L468" s="208" t="s">
        <v>39</v>
      </c>
      <c r="M468" s="217">
        <v>1</v>
      </c>
      <c r="N468" s="208"/>
      <c r="O468" s="246">
        <f>VLOOKUP(J468,BM!$A$2:$X$104,2,FALSE)</f>
        <v>2</v>
      </c>
      <c r="P468" s="208" t="s">
        <v>112</v>
      </c>
      <c r="Q468" s="240">
        <f t="shared" si="90"/>
        <v>2</v>
      </c>
      <c r="R468" s="239">
        <v>1</v>
      </c>
      <c r="S468" s="240">
        <f t="shared" si="91"/>
        <v>3</v>
      </c>
      <c r="T468" s="216" t="s">
        <v>48</v>
      </c>
      <c r="U468" s="196" t="str">
        <f t="shared" si="92"/>
        <v>3 Hrs</v>
      </c>
    </row>
    <row r="469" spans="3:21" s="185" customFormat="1" ht="20.25" customHeight="1">
      <c r="C469" s="198">
        <f>D469</f>
        <v>469</v>
      </c>
      <c r="D469" s="203">
        <f t="shared" si="100"/>
        <v>469</v>
      </c>
      <c r="E469" s="209" t="s">
        <v>465</v>
      </c>
      <c r="F469" s="210">
        <f>C466</f>
        <v>466</v>
      </c>
      <c r="G469" s="206"/>
      <c r="H469" s="206"/>
      <c r="I469" s="208"/>
      <c r="J469" s="208"/>
      <c r="K469" s="234"/>
      <c r="L469" s="208"/>
      <c r="M469" s="217"/>
      <c r="N469" s="208"/>
      <c r="O469" s="218"/>
      <c r="P469" s="208"/>
      <c r="Q469" s="240"/>
      <c r="R469" s="239"/>
      <c r="S469" s="240"/>
      <c r="T469" s="216"/>
      <c r="U469" s="196"/>
    </row>
    <row r="470" spans="3:21" s="185" customFormat="1" ht="20.25" customHeight="1">
      <c r="C470" s="198"/>
      <c r="D470" s="203">
        <f t="shared" si="100"/>
        <v>470</v>
      </c>
      <c r="E470" s="207" t="s">
        <v>466</v>
      </c>
      <c r="F470" s="211"/>
      <c r="G470" s="206" t="s">
        <v>121</v>
      </c>
      <c r="H470" s="206"/>
      <c r="I470" s="208"/>
      <c r="J470" s="208" t="str">
        <f>J468</f>
        <v>400nb</v>
      </c>
      <c r="K470" s="234">
        <v>1</v>
      </c>
      <c r="L470" s="208" t="s">
        <v>39</v>
      </c>
      <c r="M470" s="217">
        <v>1</v>
      </c>
      <c r="N470" s="208"/>
      <c r="O470" s="246">
        <f>VLOOKUP(J470,BM!$A$2:$X$104,4,FALSE)</f>
        <v>2.5538175999999999</v>
      </c>
      <c r="P470" s="208" t="s">
        <v>112</v>
      </c>
      <c r="Q470" s="240">
        <f t="shared" si="90"/>
        <v>2.5538175999999999</v>
      </c>
      <c r="R470" s="239">
        <v>1</v>
      </c>
      <c r="S470" s="240">
        <f t="shared" si="91"/>
        <v>3.55</v>
      </c>
      <c r="T470" s="216" t="s">
        <v>48</v>
      </c>
      <c r="U470" s="196" t="str">
        <f t="shared" si="92"/>
        <v>3.55 Hrs</v>
      </c>
    </row>
    <row r="471" spans="3:21" s="185" customFormat="1" ht="20.25" customHeight="1">
      <c r="C471" s="198"/>
      <c r="D471" s="203">
        <f t="shared" si="100"/>
        <v>471</v>
      </c>
      <c r="E471" s="207" t="s">
        <v>467</v>
      </c>
      <c r="F471" s="211">
        <f t="shared" si="89"/>
        <v>470</v>
      </c>
      <c r="G471" s="206" t="s">
        <v>121</v>
      </c>
      <c r="H471" s="206"/>
      <c r="I471" s="208"/>
      <c r="J471" s="208" t="str">
        <f>J468</f>
        <v>400nb</v>
      </c>
      <c r="K471" s="234">
        <v>1</v>
      </c>
      <c r="L471" s="208" t="s">
        <v>39</v>
      </c>
      <c r="M471" s="217">
        <v>1</v>
      </c>
      <c r="N471" s="208"/>
      <c r="O471" s="246">
        <f>VLOOKUP(J471,BM!$A$2:$X$104,4,FALSE)</f>
        <v>2.5538175999999999</v>
      </c>
      <c r="P471" s="208" t="s">
        <v>112</v>
      </c>
      <c r="Q471" s="240">
        <f t="shared" si="90"/>
        <v>2.5538175999999999</v>
      </c>
      <c r="R471" s="239">
        <v>1</v>
      </c>
      <c r="S471" s="240">
        <f t="shared" si="91"/>
        <v>3.55</v>
      </c>
      <c r="T471" s="216" t="s">
        <v>48</v>
      </c>
      <c r="U471" s="196" t="str">
        <f t="shared" si="92"/>
        <v>3.55 Hrs</v>
      </c>
    </row>
    <row r="472" spans="3:21" s="185" customFormat="1" ht="20.25" customHeight="1">
      <c r="C472" s="198">
        <f>D472</f>
        <v>472</v>
      </c>
      <c r="D472" s="203">
        <f t="shared" si="100"/>
        <v>472</v>
      </c>
      <c r="E472" s="209" t="s">
        <v>468</v>
      </c>
      <c r="F472" s="210">
        <f>C469</f>
        <v>469</v>
      </c>
      <c r="G472" s="206"/>
      <c r="H472" s="206"/>
      <c r="I472" s="208"/>
      <c r="J472" s="208"/>
      <c r="K472" s="234"/>
      <c r="L472" s="208"/>
      <c r="M472" s="217"/>
      <c r="N472" s="208"/>
      <c r="O472" s="218"/>
      <c r="P472" s="208"/>
      <c r="Q472" s="240"/>
      <c r="R472" s="239"/>
      <c r="S472" s="240"/>
      <c r="T472" s="216"/>
      <c r="U472" s="196"/>
    </row>
    <row r="473" spans="3:21" s="185" customFormat="1" ht="20.25" customHeight="1">
      <c r="C473" s="198"/>
      <c r="D473" s="203">
        <f t="shared" si="100"/>
        <v>473</v>
      </c>
      <c r="E473" s="207" t="s">
        <v>469</v>
      </c>
      <c r="F473" s="211"/>
      <c r="G473" s="206" t="s">
        <v>111</v>
      </c>
      <c r="H473" s="206"/>
      <c r="I473" s="208"/>
      <c r="J473" s="208" t="s">
        <v>463</v>
      </c>
      <c r="K473" s="234">
        <v>1</v>
      </c>
      <c r="L473" s="208" t="s">
        <v>39</v>
      </c>
      <c r="M473" s="217">
        <v>1</v>
      </c>
      <c r="N473" s="208" t="s">
        <v>39</v>
      </c>
      <c r="O473" s="246">
        <f>VLOOKUP(J473,BM!$A$2:$X$104,5,FALSE)</f>
        <v>2</v>
      </c>
      <c r="P473" s="208" t="s">
        <v>112</v>
      </c>
      <c r="Q473" s="240">
        <f t="shared" si="90"/>
        <v>2</v>
      </c>
      <c r="R473" s="239">
        <v>1</v>
      </c>
      <c r="S473" s="240">
        <f t="shared" si="91"/>
        <v>3</v>
      </c>
      <c r="T473" s="216" t="s">
        <v>48</v>
      </c>
      <c r="U473" s="196" t="str">
        <f t="shared" si="92"/>
        <v>3 Hrs</v>
      </c>
    </row>
    <row r="474" spans="3:21" s="185" customFormat="1" ht="20.25" customHeight="1">
      <c r="C474" s="198"/>
      <c r="D474" s="203">
        <f t="shared" si="100"/>
        <v>474</v>
      </c>
      <c r="E474" s="207" t="s">
        <v>470</v>
      </c>
      <c r="F474" s="211">
        <f t="shared" si="89"/>
        <v>473</v>
      </c>
      <c r="G474" s="206" t="s">
        <v>111</v>
      </c>
      <c r="H474" s="206"/>
      <c r="I474" s="208"/>
      <c r="J474" s="208" t="s">
        <v>463</v>
      </c>
      <c r="K474" s="234">
        <v>1</v>
      </c>
      <c r="L474" s="208" t="s">
        <v>39</v>
      </c>
      <c r="M474" s="217">
        <v>1</v>
      </c>
      <c r="N474" s="208" t="s">
        <v>39</v>
      </c>
      <c r="O474" s="246">
        <f>VLOOKUP(J474,BM!$A$2:$X$104,5,FALSE)</f>
        <v>2</v>
      </c>
      <c r="P474" s="208" t="s">
        <v>112</v>
      </c>
      <c r="Q474" s="240">
        <f t="shared" si="90"/>
        <v>2</v>
      </c>
      <c r="R474" s="239">
        <v>1</v>
      </c>
      <c r="S474" s="240">
        <f t="shared" si="91"/>
        <v>3</v>
      </c>
      <c r="T474" s="216" t="s">
        <v>48</v>
      </c>
      <c r="U474" s="196" t="str">
        <f t="shared" si="92"/>
        <v>3 Hrs</v>
      </c>
    </row>
    <row r="475" spans="3:21" s="185" customFormat="1" ht="20.25" customHeight="1">
      <c r="C475" s="198">
        <f>D475</f>
        <v>475</v>
      </c>
      <c r="D475" s="203">
        <f t="shared" si="100"/>
        <v>475</v>
      </c>
      <c r="E475" s="209" t="s">
        <v>471</v>
      </c>
      <c r="F475" s="210">
        <f>C472</f>
        <v>472</v>
      </c>
      <c r="G475" s="206"/>
      <c r="H475" s="206"/>
      <c r="I475" s="208"/>
      <c r="J475" s="208"/>
      <c r="K475" s="234"/>
      <c r="L475" s="208"/>
      <c r="M475" s="217"/>
      <c r="N475" s="208"/>
      <c r="O475" s="218"/>
      <c r="P475" s="208"/>
      <c r="Q475" s="240"/>
      <c r="R475" s="239"/>
      <c r="S475" s="240"/>
      <c r="T475" s="216"/>
      <c r="U475" s="196"/>
    </row>
    <row r="476" spans="3:21" s="185" customFormat="1" ht="20.25" customHeight="1">
      <c r="C476" s="198"/>
      <c r="D476" s="203">
        <f t="shared" si="100"/>
        <v>476</v>
      </c>
      <c r="E476" s="207" t="s">
        <v>472</v>
      </c>
      <c r="F476" s="211"/>
      <c r="G476" s="206" t="s">
        <v>44</v>
      </c>
      <c r="H476" s="206"/>
      <c r="I476" s="208"/>
      <c r="J476" s="208" t="s">
        <v>463</v>
      </c>
      <c r="K476" s="234">
        <v>1</v>
      </c>
      <c r="L476" s="208" t="s">
        <v>39</v>
      </c>
      <c r="M476" s="217">
        <v>1</v>
      </c>
      <c r="N476" s="208" t="s">
        <v>39</v>
      </c>
      <c r="O476" s="218">
        <v>1</v>
      </c>
      <c r="P476" s="208" t="s">
        <v>112</v>
      </c>
      <c r="Q476" s="240">
        <f t="shared" ref="Q476:Q539" si="102">M476*O476</f>
        <v>1</v>
      </c>
      <c r="R476" s="239">
        <v>1</v>
      </c>
      <c r="S476" s="240">
        <f t="shared" si="91"/>
        <v>2</v>
      </c>
      <c r="T476" s="216" t="s">
        <v>48</v>
      </c>
      <c r="U476" s="196" t="str">
        <f t="shared" ref="U476:U539" si="103">CONCATENATE(S476," ",T476)</f>
        <v>2 Hrs</v>
      </c>
    </row>
    <row r="477" spans="3:21" s="185" customFormat="1" ht="20.25" customHeight="1">
      <c r="C477" s="198"/>
      <c r="D477" s="203">
        <f t="shared" si="100"/>
        <v>477</v>
      </c>
      <c r="E477" s="207" t="s">
        <v>473</v>
      </c>
      <c r="F477" s="211">
        <f t="shared" ref="F477:F540" si="104">D476</f>
        <v>476</v>
      </c>
      <c r="G477" s="206" t="s">
        <v>44</v>
      </c>
      <c r="H477" s="206"/>
      <c r="I477" s="208"/>
      <c r="J477" s="208" t="s">
        <v>463</v>
      </c>
      <c r="K477" s="234">
        <v>1</v>
      </c>
      <c r="L477" s="208" t="s">
        <v>39</v>
      </c>
      <c r="M477" s="217">
        <v>1</v>
      </c>
      <c r="N477" s="208" t="s">
        <v>39</v>
      </c>
      <c r="O477" s="218">
        <v>1</v>
      </c>
      <c r="P477" s="208" t="s">
        <v>112</v>
      </c>
      <c r="Q477" s="240">
        <f t="shared" si="102"/>
        <v>1</v>
      </c>
      <c r="R477" s="239">
        <v>1</v>
      </c>
      <c r="S477" s="240">
        <f t="shared" ref="S477:S540" si="105">ROUND(Q477+R477,2)</f>
        <v>2</v>
      </c>
      <c r="T477" s="216" t="s">
        <v>48</v>
      </c>
      <c r="U477" s="196" t="str">
        <f t="shared" si="103"/>
        <v>2 Hrs</v>
      </c>
    </row>
    <row r="478" spans="3:21" s="185" customFormat="1" ht="20.25" customHeight="1">
      <c r="C478" s="198">
        <f>D478</f>
        <v>478</v>
      </c>
      <c r="D478" s="203">
        <f t="shared" si="100"/>
        <v>478</v>
      </c>
      <c r="E478" s="209" t="s">
        <v>474</v>
      </c>
      <c r="F478" s="210">
        <f>C475</f>
        <v>475</v>
      </c>
      <c r="G478" s="206"/>
      <c r="H478" s="206"/>
      <c r="I478" s="208"/>
      <c r="J478" s="208"/>
      <c r="K478" s="234"/>
      <c r="L478" s="208"/>
      <c r="M478" s="217"/>
      <c r="N478" s="208"/>
      <c r="O478" s="218"/>
      <c r="P478" s="208"/>
      <c r="Q478" s="240"/>
      <c r="R478" s="239"/>
      <c r="S478" s="240"/>
      <c r="T478" s="216"/>
      <c r="U478" s="196"/>
    </row>
    <row r="479" spans="3:21" s="185" customFormat="1" ht="20.25" customHeight="1">
      <c r="C479" s="198"/>
      <c r="D479" s="203">
        <f t="shared" si="100"/>
        <v>479</v>
      </c>
      <c r="E479" s="207" t="s">
        <v>475</v>
      </c>
      <c r="F479" s="211"/>
      <c r="G479" s="206" t="s">
        <v>201</v>
      </c>
      <c r="H479" s="206"/>
      <c r="I479" s="208"/>
      <c r="J479" s="208" t="s">
        <v>463</v>
      </c>
      <c r="K479" s="234">
        <v>2</v>
      </c>
      <c r="L479" s="208" t="s">
        <v>81</v>
      </c>
      <c r="M479" s="217">
        <v>1</v>
      </c>
      <c r="N479" s="208" t="s">
        <v>39</v>
      </c>
      <c r="O479" s="218">
        <v>0.5</v>
      </c>
      <c r="P479" s="208" t="s">
        <v>112</v>
      </c>
      <c r="Q479" s="240">
        <f t="shared" si="102"/>
        <v>0.5</v>
      </c>
      <c r="R479" s="239">
        <v>1</v>
      </c>
      <c r="S479" s="240">
        <f t="shared" si="105"/>
        <v>1.5</v>
      </c>
      <c r="T479" s="216" t="s">
        <v>48</v>
      </c>
      <c r="U479" s="196" t="str">
        <f t="shared" si="103"/>
        <v>1.5 Hrs</v>
      </c>
    </row>
    <row r="480" spans="3:21" s="185" customFormat="1" ht="20.25" customHeight="1">
      <c r="C480" s="198"/>
      <c r="D480" s="203">
        <f t="shared" si="100"/>
        <v>480</v>
      </c>
      <c r="E480" s="207" t="s">
        <v>476</v>
      </c>
      <c r="F480" s="211">
        <f t="shared" si="104"/>
        <v>479</v>
      </c>
      <c r="G480" s="206" t="s">
        <v>115</v>
      </c>
      <c r="H480" s="206"/>
      <c r="I480" s="224">
        <v>14</v>
      </c>
      <c r="J480" s="234" t="s">
        <v>477</v>
      </c>
      <c r="K480" s="234">
        <v>1</v>
      </c>
      <c r="L480" s="208" t="s">
        <v>39</v>
      </c>
      <c r="M480" s="235">
        <f>16*25.4*3.142*K480/1000</f>
        <v>1.2769088</v>
      </c>
      <c r="N480" s="208" t="s">
        <v>249</v>
      </c>
      <c r="O480" s="246">
        <f>VLOOKUP(I480,BM!$A$2:$X$104,17,FALSE)</f>
        <v>3.22</v>
      </c>
      <c r="P480" s="208" t="s">
        <v>112</v>
      </c>
      <c r="Q480" s="240">
        <f t="shared" si="102"/>
        <v>4.1116463359999997</v>
      </c>
      <c r="R480" s="239">
        <v>1</v>
      </c>
      <c r="S480" s="240">
        <f t="shared" si="105"/>
        <v>5.1100000000000003</v>
      </c>
      <c r="T480" s="216" t="s">
        <v>48</v>
      </c>
      <c r="U480" s="196" t="str">
        <f t="shared" si="103"/>
        <v>5.11 Hrs</v>
      </c>
    </row>
    <row r="481" spans="3:21" s="185" customFormat="1" ht="20.25" customHeight="1">
      <c r="C481" s="198"/>
      <c r="D481" s="203">
        <f t="shared" si="100"/>
        <v>481</v>
      </c>
      <c r="E481" s="207" t="s">
        <v>478</v>
      </c>
      <c r="F481" s="211">
        <f t="shared" si="104"/>
        <v>480</v>
      </c>
      <c r="G481" s="206" t="s">
        <v>115</v>
      </c>
      <c r="H481" s="206"/>
      <c r="I481" s="224">
        <v>14</v>
      </c>
      <c r="J481" s="234" t="s">
        <v>477</v>
      </c>
      <c r="K481" s="234">
        <v>1</v>
      </c>
      <c r="L481" s="208" t="s">
        <v>39</v>
      </c>
      <c r="M481" s="235">
        <f>16*25.4*3.142*K481/1000</f>
        <v>1.2769088</v>
      </c>
      <c r="N481" s="208" t="s">
        <v>249</v>
      </c>
      <c r="O481" s="246">
        <f>VLOOKUP(I481,BM!$A$2:$X$104,17,FALSE)</f>
        <v>3.22</v>
      </c>
      <c r="P481" s="208" t="s">
        <v>112</v>
      </c>
      <c r="Q481" s="240">
        <f t="shared" si="102"/>
        <v>4.1116463359999997</v>
      </c>
      <c r="R481" s="239">
        <v>1</v>
      </c>
      <c r="S481" s="240">
        <f t="shared" si="105"/>
        <v>5.1100000000000003</v>
      </c>
      <c r="T481" s="216" t="s">
        <v>48</v>
      </c>
      <c r="U481" s="196" t="str">
        <f t="shared" si="103"/>
        <v>5.11 Hrs</v>
      </c>
    </row>
    <row r="482" spans="3:21" s="185" customFormat="1" ht="20.25" customHeight="1">
      <c r="C482" s="198"/>
      <c r="D482" s="203">
        <f t="shared" si="100"/>
        <v>482</v>
      </c>
      <c r="E482" s="207" t="s">
        <v>479</v>
      </c>
      <c r="F482" s="211">
        <f t="shared" si="104"/>
        <v>481</v>
      </c>
      <c r="G482" s="206" t="s">
        <v>115</v>
      </c>
      <c r="H482" s="206"/>
      <c r="I482" s="224">
        <v>14</v>
      </c>
      <c r="J482" s="234" t="s">
        <v>477</v>
      </c>
      <c r="K482" s="234">
        <v>2</v>
      </c>
      <c r="L482" s="208" t="s">
        <v>39</v>
      </c>
      <c r="M482" s="217">
        <v>2</v>
      </c>
      <c r="N482" s="208" t="s">
        <v>81</v>
      </c>
      <c r="O482" s="218">
        <v>1</v>
      </c>
      <c r="P482" s="208" t="s">
        <v>112</v>
      </c>
      <c r="Q482" s="240">
        <f t="shared" si="102"/>
        <v>2</v>
      </c>
      <c r="R482" s="239">
        <v>1</v>
      </c>
      <c r="S482" s="240">
        <f t="shared" si="105"/>
        <v>3</v>
      </c>
      <c r="T482" s="216" t="s">
        <v>48</v>
      </c>
      <c r="U482" s="196" t="str">
        <f t="shared" si="103"/>
        <v>3 Hrs</v>
      </c>
    </row>
    <row r="483" spans="3:21" s="185" customFormat="1" ht="20.25" customHeight="1">
      <c r="C483" s="198"/>
      <c r="D483" s="203">
        <f t="shared" si="100"/>
        <v>483</v>
      </c>
      <c r="E483" s="207" t="s">
        <v>480</v>
      </c>
      <c r="F483" s="211">
        <f t="shared" si="104"/>
        <v>482</v>
      </c>
      <c r="G483" s="206" t="s">
        <v>115</v>
      </c>
      <c r="H483" s="206"/>
      <c r="I483" s="224">
        <v>6</v>
      </c>
      <c r="J483" s="234" t="s">
        <v>477</v>
      </c>
      <c r="K483" s="234">
        <v>1</v>
      </c>
      <c r="L483" s="208" t="s">
        <v>39</v>
      </c>
      <c r="M483" s="235">
        <f>16*25.4*3.142*K483/1000</f>
        <v>1.2769088</v>
      </c>
      <c r="N483" s="208" t="s">
        <v>249</v>
      </c>
      <c r="O483" s="246">
        <f>VLOOKUP(I483,BM!$A$2:$X$104,17,FALSE)</f>
        <v>0.9</v>
      </c>
      <c r="P483" s="208" t="s">
        <v>112</v>
      </c>
      <c r="Q483" s="240">
        <f t="shared" si="102"/>
        <v>1.1492179199999999</v>
      </c>
      <c r="R483" s="239">
        <v>1</v>
      </c>
      <c r="S483" s="240">
        <f t="shared" si="105"/>
        <v>2.15</v>
      </c>
      <c r="T483" s="216" t="s">
        <v>48</v>
      </c>
      <c r="U483" s="196" t="str">
        <f t="shared" si="103"/>
        <v>2.15 Hrs</v>
      </c>
    </row>
    <row r="484" spans="3:21" s="185" customFormat="1" ht="20.25" customHeight="1">
      <c r="C484" s="198"/>
      <c r="D484" s="203">
        <f t="shared" si="100"/>
        <v>484</v>
      </c>
      <c r="E484" s="207" t="s">
        <v>481</v>
      </c>
      <c r="F484" s="211">
        <f t="shared" si="104"/>
        <v>483</v>
      </c>
      <c r="G484" s="206" t="s">
        <v>115</v>
      </c>
      <c r="H484" s="206"/>
      <c r="I484" s="224">
        <v>6</v>
      </c>
      <c r="J484" s="234" t="s">
        <v>477</v>
      </c>
      <c r="K484" s="234">
        <v>1</v>
      </c>
      <c r="L484" s="208" t="s">
        <v>39</v>
      </c>
      <c r="M484" s="235">
        <f>16*25.4*3.142*K484/1000</f>
        <v>1.2769088</v>
      </c>
      <c r="N484" s="208" t="s">
        <v>249</v>
      </c>
      <c r="O484" s="246">
        <f>VLOOKUP(I484,BM!$A$2:$X$104,17,FALSE)</f>
        <v>0.9</v>
      </c>
      <c r="P484" s="208" t="s">
        <v>112</v>
      </c>
      <c r="Q484" s="240">
        <f t="shared" si="102"/>
        <v>1.1492179199999999</v>
      </c>
      <c r="R484" s="239">
        <v>1</v>
      </c>
      <c r="S484" s="240">
        <f t="shared" si="105"/>
        <v>2.15</v>
      </c>
      <c r="T484" s="216" t="s">
        <v>48</v>
      </c>
      <c r="U484" s="196" t="str">
        <f t="shared" si="103"/>
        <v>2.15 Hrs</v>
      </c>
    </row>
    <row r="485" spans="3:21" s="185" customFormat="1" ht="20.25" customHeight="1">
      <c r="C485" s="198"/>
      <c r="D485" s="203">
        <f t="shared" si="100"/>
        <v>485</v>
      </c>
      <c r="E485" s="207" t="s">
        <v>482</v>
      </c>
      <c r="F485" s="211">
        <f t="shared" si="104"/>
        <v>484</v>
      </c>
      <c r="G485" s="206" t="s">
        <v>115</v>
      </c>
      <c r="H485" s="206"/>
      <c r="I485" s="208"/>
      <c r="J485" s="234" t="s">
        <v>463</v>
      </c>
      <c r="K485" s="234">
        <v>2</v>
      </c>
      <c r="L485" s="208" t="s">
        <v>39</v>
      </c>
      <c r="M485" s="217">
        <v>2</v>
      </c>
      <c r="N485" s="208" t="s">
        <v>84</v>
      </c>
      <c r="O485" s="246">
        <f>VLOOKUP(J485,BM!$A$2:$X$104,11,FALSE)</f>
        <v>4</v>
      </c>
      <c r="P485" s="208" t="s">
        <v>112</v>
      </c>
      <c r="Q485" s="240">
        <f t="shared" si="102"/>
        <v>8</v>
      </c>
      <c r="R485" s="239">
        <v>1</v>
      </c>
      <c r="S485" s="240">
        <f t="shared" si="105"/>
        <v>9</v>
      </c>
      <c r="T485" s="216" t="s">
        <v>48</v>
      </c>
      <c r="U485" s="196" t="str">
        <f t="shared" si="103"/>
        <v>9 Hrs</v>
      </c>
    </row>
    <row r="486" spans="3:21" s="185" customFormat="1" ht="20.25" customHeight="1">
      <c r="C486" s="198"/>
      <c r="D486" s="203">
        <f t="shared" si="100"/>
        <v>486</v>
      </c>
      <c r="E486" s="207" t="s">
        <v>483</v>
      </c>
      <c r="F486" s="211">
        <f t="shared" si="104"/>
        <v>485</v>
      </c>
      <c r="G486" s="206" t="s">
        <v>121</v>
      </c>
      <c r="H486" s="206"/>
      <c r="I486" s="224">
        <v>18</v>
      </c>
      <c r="J486" s="208"/>
      <c r="K486" s="234">
        <v>2</v>
      </c>
      <c r="L486" s="208" t="s">
        <v>39</v>
      </c>
      <c r="M486" s="235">
        <f>16*25.4*3.142*0.001*K486</f>
        <v>2.5538175999999999</v>
      </c>
      <c r="N486" s="208" t="s">
        <v>249</v>
      </c>
      <c r="O486" s="246">
        <f>VLOOKUP(I486,BM!$A$2:$X$104,23,FALSE)</f>
        <v>6.8</v>
      </c>
      <c r="P486" s="208" t="s">
        <v>112</v>
      </c>
      <c r="Q486" s="240">
        <f t="shared" si="102"/>
        <v>17.36595968</v>
      </c>
      <c r="R486" s="239">
        <v>1</v>
      </c>
      <c r="S486" s="240">
        <f t="shared" si="105"/>
        <v>18.37</v>
      </c>
      <c r="T486" s="216" t="s">
        <v>48</v>
      </c>
      <c r="U486" s="196" t="str">
        <f t="shared" si="103"/>
        <v>18.37 Hrs</v>
      </c>
    </row>
    <row r="487" spans="3:21" s="185" customFormat="1" ht="20.25" customHeight="1">
      <c r="C487" s="198"/>
      <c r="D487" s="203">
        <f t="shared" si="100"/>
        <v>487</v>
      </c>
      <c r="E487" s="207" t="s">
        <v>484</v>
      </c>
      <c r="F487" s="211">
        <f t="shared" si="104"/>
        <v>486</v>
      </c>
      <c r="G487" s="206" t="s">
        <v>61</v>
      </c>
      <c r="H487" s="206"/>
      <c r="I487" s="208"/>
      <c r="J487" s="234" t="s">
        <v>477</v>
      </c>
      <c r="K487" s="234">
        <v>2</v>
      </c>
      <c r="L487" s="208" t="s">
        <v>485</v>
      </c>
      <c r="M487" s="235">
        <f>16*25.4*3.142*K487/1000</f>
        <v>2.5538175999999999</v>
      </c>
      <c r="N487" s="208" t="s">
        <v>39</v>
      </c>
      <c r="O487" s="218">
        <v>0.15</v>
      </c>
      <c r="P487" s="208" t="s">
        <v>112</v>
      </c>
      <c r="Q487" s="240">
        <f t="shared" si="102"/>
        <v>0.38307263999999996</v>
      </c>
      <c r="R487" s="239">
        <v>1</v>
      </c>
      <c r="S487" s="240">
        <f t="shared" si="105"/>
        <v>1.38</v>
      </c>
      <c r="T487" s="216" t="s">
        <v>48</v>
      </c>
      <c r="U487" s="196" t="str">
        <f t="shared" si="103"/>
        <v>1.38 Hrs</v>
      </c>
    </row>
    <row r="488" spans="3:21" s="185" customFormat="1" ht="20.25" customHeight="1">
      <c r="C488" s="198">
        <f>D488</f>
        <v>488</v>
      </c>
      <c r="D488" s="203">
        <f t="shared" si="100"/>
        <v>488</v>
      </c>
      <c r="E488" s="209" t="s">
        <v>486</v>
      </c>
      <c r="F488" s="210">
        <f>C478</f>
        <v>478</v>
      </c>
      <c r="G488" s="206"/>
      <c r="H488" s="206"/>
      <c r="I488" s="208"/>
      <c r="J488" s="208"/>
      <c r="K488" s="234"/>
      <c r="L488" s="208"/>
      <c r="M488" s="217"/>
      <c r="N488" s="208"/>
      <c r="O488" s="218"/>
      <c r="P488" s="208"/>
      <c r="Q488" s="240"/>
      <c r="R488" s="239"/>
      <c r="S488" s="240"/>
      <c r="T488" s="216"/>
      <c r="U488" s="196"/>
    </row>
    <row r="489" spans="3:21" s="185" customFormat="1" ht="20.25" customHeight="1">
      <c r="C489" s="198"/>
      <c r="D489" s="203">
        <f t="shared" si="100"/>
        <v>489</v>
      </c>
      <c r="E489" s="207" t="s">
        <v>487</v>
      </c>
      <c r="F489" s="211"/>
      <c r="G489" s="206" t="s">
        <v>299</v>
      </c>
      <c r="H489" s="206"/>
      <c r="I489" s="224">
        <v>24</v>
      </c>
      <c r="J489" s="234">
        <v>14465</v>
      </c>
      <c r="K489" s="234">
        <v>1</v>
      </c>
      <c r="L489" s="208" t="s">
        <v>39</v>
      </c>
      <c r="M489" s="217">
        <f>J489*K489/1000</f>
        <v>14.465</v>
      </c>
      <c r="N489" s="208" t="s">
        <v>81</v>
      </c>
      <c r="O489" s="218">
        <v>0.5</v>
      </c>
      <c r="P489" s="208" t="s">
        <v>112</v>
      </c>
      <c r="Q489" s="240">
        <f t="shared" si="102"/>
        <v>7.2324999999999999</v>
      </c>
      <c r="R489" s="239">
        <v>1</v>
      </c>
      <c r="S489" s="240">
        <f t="shared" si="105"/>
        <v>8.23</v>
      </c>
      <c r="T489" s="216" t="s">
        <v>48</v>
      </c>
      <c r="U489" s="196" t="str">
        <f t="shared" si="103"/>
        <v>8.23 Hrs</v>
      </c>
    </row>
    <row r="490" spans="3:21" s="185" customFormat="1" ht="20.25" customHeight="1">
      <c r="C490" s="198"/>
      <c r="D490" s="203">
        <f t="shared" si="100"/>
        <v>490</v>
      </c>
      <c r="E490" s="207" t="s">
        <v>488</v>
      </c>
      <c r="F490" s="211">
        <f t="shared" si="104"/>
        <v>489</v>
      </c>
      <c r="G490" s="206" t="s">
        <v>44</v>
      </c>
      <c r="H490" s="206"/>
      <c r="I490" s="224">
        <v>24</v>
      </c>
      <c r="J490" s="234" t="s">
        <v>489</v>
      </c>
      <c r="K490" s="234">
        <v>3</v>
      </c>
      <c r="L490" s="208" t="s">
        <v>39</v>
      </c>
      <c r="M490" s="217">
        <v>4</v>
      </c>
      <c r="N490" s="208" t="s">
        <v>81</v>
      </c>
      <c r="O490" s="218">
        <v>0.5</v>
      </c>
      <c r="P490" s="208" t="s">
        <v>112</v>
      </c>
      <c r="Q490" s="240">
        <f t="shared" si="102"/>
        <v>2</v>
      </c>
      <c r="R490" s="239">
        <v>1</v>
      </c>
      <c r="S490" s="240">
        <f t="shared" si="105"/>
        <v>3</v>
      </c>
      <c r="T490" s="216" t="s">
        <v>48</v>
      </c>
      <c r="U490" s="196" t="str">
        <f t="shared" si="103"/>
        <v>3 Hrs</v>
      </c>
    </row>
    <row r="491" spans="3:21" s="185" customFormat="1" ht="20.25" customHeight="1">
      <c r="C491" s="198">
        <f>D491</f>
        <v>491</v>
      </c>
      <c r="D491" s="203">
        <f t="shared" si="100"/>
        <v>491</v>
      </c>
      <c r="E491" s="209" t="s">
        <v>490</v>
      </c>
      <c r="F491" s="210">
        <f>C488</f>
        <v>488</v>
      </c>
      <c r="G491" s="206"/>
      <c r="H491" s="206"/>
      <c r="I491" s="208"/>
      <c r="J491" s="208"/>
      <c r="K491" s="234"/>
      <c r="L491" s="208"/>
      <c r="M491" s="217"/>
      <c r="N491" s="208"/>
      <c r="O491" s="218"/>
      <c r="P491" s="208"/>
      <c r="Q491" s="240"/>
      <c r="R491" s="239"/>
      <c r="S491" s="240"/>
      <c r="T491" s="216"/>
      <c r="U491" s="196"/>
    </row>
    <row r="492" spans="3:21" s="185" customFormat="1" ht="20.25" customHeight="1">
      <c r="C492" s="198"/>
      <c r="D492" s="203">
        <f t="shared" si="100"/>
        <v>492</v>
      </c>
      <c r="E492" s="207" t="s">
        <v>491</v>
      </c>
      <c r="F492" s="211"/>
      <c r="G492" s="206" t="s">
        <v>115</v>
      </c>
      <c r="H492" s="206"/>
      <c r="I492" s="224">
        <v>24</v>
      </c>
      <c r="J492" s="234">
        <v>1480</v>
      </c>
      <c r="K492" s="234">
        <v>3</v>
      </c>
      <c r="L492" s="208" t="s">
        <v>39</v>
      </c>
      <c r="M492" s="235">
        <f>J492*K492/1000</f>
        <v>4.4400000000000004</v>
      </c>
      <c r="N492" s="208"/>
      <c r="O492" s="246">
        <f>VLOOKUP(I492,BM!$A$2:$X$104,23,FALSE)</f>
        <v>11.2</v>
      </c>
      <c r="P492" s="208" t="s">
        <v>112</v>
      </c>
      <c r="Q492" s="240">
        <f t="shared" si="102"/>
        <v>49.728000000000002</v>
      </c>
      <c r="R492" s="239">
        <v>1</v>
      </c>
      <c r="S492" s="240">
        <f t="shared" si="105"/>
        <v>50.73</v>
      </c>
      <c r="T492" s="216" t="s">
        <v>48</v>
      </c>
      <c r="U492" s="196" t="str">
        <f t="shared" si="103"/>
        <v>50.73 Hrs</v>
      </c>
    </row>
    <row r="493" spans="3:21" s="185" customFormat="1" ht="20.25" customHeight="1">
      <c r="C493" s="198"/>
      <c r="D493" s="203">
        <f t="shared" si="100"/>
        <v>493</v>
      </c>
      <c r="E493" s="207" t="s">
        <v>492</v>
      </c>
      <c r="F493" s="211">
        <f t="shared" si="104"/>
        <v>492</v>
      </c>
      <c r="G493" s="206" t="s">
        <v>121</v>
      </c>
      <c r="H493" s="206"/>
      <c r="I493" s="224">
        <v>12</v>
      </c>
      <c r="J493" s="234" t="s">
        <v>493</v>
      </c>
      <c r="K493" s="234">
        <v>1</v>
      </c>
      <c r="L493" s="208" t="s">
        <v>39</v>
      </c>
      <c r="M493" s="227">
        <f>LEFT(J493,SEARCH(" ",J493,1)-1)*K493/1000</f>
        <v>12.31</v>
      </c>
      <c r="N493" s="208" t="s">
        <v>39</v>
      </c>
      <c r="O493" s="246">
        <f>VLOOKUP(I493,BM!$A$2:$X$104,22,FALSE)</f>
        <v>1.6</v>
      </c>
      <c r="P493" s="208" t="s">
        <v>112</v>
      </c>
      <c r="Q493" s="240">
        <f t="shared" si="102"/>
        <v>19.696000000000002</v>
      </c>
      <c r="R493" s="239">
        <v>1</v>
      </c>
      <c r="S493" s="240">
        <f t="shared" si="105"/>
        <v>20.7</v>
      </c>
      <c r="T493" s="216" t="s">
        <v>48</v>
      </c>
      <c r="U493" s="196" t="str">
        <f t="shared" si="103"/>
        <v>20.7 Hrs</v>
      </c>
    </row>
    <row r="494" spans="3:21" s="185" customFormat="1" ht="20.25" customHeight="1">
      <c r="C494" s="198">
        <f>D494</f>
        <v>494</v>
      </c>
      <c r="D494" s="203">
        <f t="shared" si="100"/>
        <v>494</v>
      </c>
      <c r="E494" s="209" t="s">
        <v>494</v>
      </c>
      <c r="F494" s="210">
        <f>C491</f>
        <v>491</v>
      </c>
      <c r="G494" s="206"/>
      <c r="H494" s="206"/>
      <c r="I494" s="208"/>
      <c r="J494" s="208"/>
      <c r="K494" s="234"/>
      <c r="L494" s="208"/>
      <c r="M494" s="217"/>
      <c r="N494" s="208"/>
      <c r="O494" s="218"/>
      <c r="P494" s="208"/>
      <c r="Q494" s="240"/>
      <c r="R494" s="239"/>
      <c r="S494" s="240"/>
      <c r="T494" s="216"/>
      <c r="U494" s="196"/>
    </row>
    <row r="495" spans="3:21" s="185" customFormat="1" ht="20.25" customHeight="1">
      <c r="C495" s="198"/>
      <c r="D495" s="203">
        <f t="shared" si="100"/>
        <v>495</v>
      </c>
      <c r="E495" s="207" t="s">
        <v>495</v>
      </c>
      <c r="F495" s="211"/>
      <c r="G495" s="206" t="s">
        <v>44</v>
      </c>
      <c r="H495" s="206"/>
      <c r="I495" s="224">
        <v>18</v>
      </c>
      <c r="J495" s="234" t="s">
        <v>496</v>
      </c>
      <c r="K495" s="234">
        <v>1</v>
      </c>
      <c r="L495" s="208" t="s">
        <v>39</v>
      </c>
      <c r="M495" s="217">
        <v>1</v>
      </c>
      <c r="N495" s="208" t="s">
        <v>39</v>
      </c>
      <c r="O495" s="218">
        <v>4</v>
      </c>
      <c r="P495" s="208" t="s">
        <v>112</v>
      </c>
      <c r="Q495" s="240">
        <f t="shared" si="102"/>
        <v>4</v>
      </c>
      <c r="R495" s="239">
        <v>1</v>
      </c>
      <c r="S495" s="240">
        <f t="shared" si="105"/>
        <v>5</v>
      </c>
      <c r="T495" s="216" t="s">
        <v>48</v>
      </c>
      <c r="U495" s="196" t="str">
        <f t="shared" si="103"/>
        <v>5 Hrs</v>
      </c>
    </row>
    <row r="496" spans="3:21" s="185" customFormat="1" ht="20.25" customHeight="1">
      <c r="C496" s="198"/>
      <c r="D496" s="203">
        <f t="shared" si="100"/>
        <v>496</v>
      </c>
      <c r="E496" s="207" t="s">
        <v>497</v>
      </c>
      <c r="F496" s="211">
        <f t="shared" si="104"/>
        <v>495</v>
      </c>
      <c r="G496" s="206" t="s">
        <v>498</v>
      </c>
      <c r="H496" s="206"/>
      <c r="I496" s="224">
        <v>18</v>
      </c>
      <c r="J496" s="234" t="s">
        <v>499</v>
      </c>
      <c r="K496" s="234">
        <v>1</v>
      </c>
      <c r="L496" s="208" t="s">
        <v>39</v>
      </c>
      <c r="M496" s="217">
        <v>1</v>
      </c>
      <c r="N496" s="208" t="s">
        <v>39</v>
      </c>
      <c r="O496" s="218">
        <v>4</v>
      </c>
      <c r="P496" s="208" t="s">
        <v>112</v>
      </c>
      <c r="Q496" s="240">
        <f t="shared" si="102"/>
        <v>4</v>
      </c>
      <c r="R496" s="239">
        <v>1</v>
      </c>
      <c r="S496" s="240">
        <f t="shared" si="105"/>
        <v>5</v>
      </c>
      <c r="T496" s="216" t="s">
        <v>48</v>
      </c>
      <c r="U496" s="196" t="str">
        <f t="shared" si="103"/>
        <v>5 Hrs</v>
      </c>
    </row>
    <row r="497" spans="3:21" s="185" customFormat="1" ht="20.25" customHeight="1">
      <c r="C497" s="198"/>
      <c r="D497" s="203">
        <f t="shared" si="100"/>
        <v>497</v>
      </c>
      <c r="E497" s="207" t="s">
        <v>500</v>
      </c>
      <c r="F497" s="211">
        <f t="shared" si="104"/>
        <v>496</v>
      </c>
      <c r="G497" s="206" t="s">
        <v>115</v>
      </c>
      <c r="H497" s="206"/>
      <c r="I497" s="224">
        <v>12</v>
      </c>
      <c r="J497" s="234">
        <v>6</v>
      </c>
      <c r="K497" s="234">
        <v>1</v>
      </c>
      <c r="L497" s="208" t="s">
        <v>39</v>
      </c>
      <c r="M497" s="235">
        <f>J497*K497</f>
        <v>6</v>
      </c>
      <c r="N497" s="208" t="s">
        <v>139</v>
      </c>
      <c r="O497" s="246">
        <f>VLOOKUP(I497,BM!$A$2:$X$104,22,FALSE)</f>
        <v>1.6</v>
      </c>
      <c r="P497" s="208" t="s">
        <v>112</v>
      </c>
      <c r="Q497" s="240">
        <f t="shared" si="102"/>
        <v>9.6000000000000014</v>
      </c>
      <c r="R497" s="239">
        <v>1</v>
      </c>
      <c r="S497" s="240">
        <f t="shared" si="105"/>
        <v>10.6</v>
      </c>
      <c r="T497" s="216" t="s">
        <v>48</v>
      </c>
      <c r="U497" s="196" t="str">
        <f t="shared" si="103"/>
        <v>10.6 Hrs</v>
      </c>
    </row>
    <row r="498" spans="3:21" s="185" customFormat="1" ht="20.25" customHeight="1">
      <c r="C498" s="198">
        <f>D498</f>
        <v>498</v>
      </c>
      <c r="D498" s="203">
        <f t="shared" si="100"/>
        <v>498</v>
      </c>
      <c r="E498" s="209" t="s">
        <v>501</v>
      </c>
      <c r="F498" s="210">
        <f>C494</f>
        <v>494</v>
      </c>
      <c r="G498" s="206"/>
      <c r="H498" s="206"/>
      <c r="I498" s="208"/>
      <c r="J498" s="208"/>
      <c r="K498" s="234"/>
      <c r="L498" s="208"/>
      <c r="M498" s="217"/>
      <c r="N498" s="208"/>
      <c r="O498" s="218"/>
      <c r="P498" s="208"/>
      <c r="Q498" s="240"/>
      <c r="R498" s="239"/>
      <c r="S498" s="240"/>
      <c r="T498" s="216"/>
      <c r="U498" s="196"/>
    </row>
    <row r="499" spans="3:21" s="185" customFormat="1" ht="20.25" customHeight="1">
      <c r="C499" s="198"/>
      <c r="D499" s="203">
        <f t="shared" si="100"/>
        <v>499</v>
      </c>
      <c r="E499" s="207" t="s">
        <v>502</v>
      </c>
      <c r="F499" s="211"/>
      <c r="G499" s="206" t="s">
        <v>149</v>
      </c>
      <c r="H499" s="206"/>
      <c r="I499" s="224">
        <v>18</v>
      </c>
      <c r="J499" s="234" t="s">
        <v>503</v>
      </c>
      <c r="K499" s="234">
        <v>1</v>
      </c>
      <c r="L499" s="208" t="s">
        <v>39</v>
      </c>
      <c r="M499" s="217">
        <v>1</v>
      </c>
      <c r="N499" s="208" t="s">
        <v>39</v>
      </c>
      <c r="O499" s="218">
        <v>8</v>
      </c>
      <c r="P499" s="208" t="s">
        <v>112</v>
      </c>
      <c r="Q499" s="240">
        <f t="shared" si="102"/>
        <v>8</v>
      </c>
      <c r="R499" s="239">
        <v>1</v>
      </c>
      <c r="S499" s="240">
        <f t="shared" si="105"/>
        <v>9</v>
      </c>
      <c r="T499" s="216" t="s">
        <v>48</v>
      </c>
      <c r="U499" s="196" t="str">
        <f t="shared" si="103"/>
        <v>9 Hrs</v>
      </c>
    </row>
    <row r="500" spans="3:21" s="185" customFormat="1" ht="20.25" customHeight="1">
      <c r="C500" s="198"/>
      <c r="D500" s="203">
        <f t="shared" si="100"/>
        <v>500</v>
      </c>
      <c r="E500" s="207" t="s">
        <v>504</v>
      </c>
      <c r="F500" s="211">
        <f t="shared" si="104"/>
        <v>499</v>
      </c>
      <c r="G500" s="206" t="s">
        <v>63</v>
      </c>
      <c r="H500" s="206"/>
      <c r="I500" s="224">
        <v>18</v>
      </c>
      <c r="J500" s="234" t="s">
        <v>503</v>
      </c>
      <c r="K500" s="234">
        <v>1</v>
      </c>
      <c r="L500" s="208" t="s">
        <v>39</v>
      </c>
      <c r="M500" s="217">
        <v>1</v>
      </c>
      <c r="N500" s="208" t="s">
        <v>39</v>
      </c>
      <c r="O500" s="218">
        <v>1</v>
      </c>
      <c r="P500" s="208" t="s">
        <v>41</v>
      </c>
      <c r="Q500" s="240">
        <f t="shared" si="102"/>
        <v>1</v>
      </c>
      <c r="R500" s="239"/>
      <c r="S500" s="240">
        <f t="shared" si="105"/>
        <v>1</v>
      </c>
      <c r="T500" s="216" t="s">
        <v>48</v>
      </c>
      <c r="U500" s="196" t="str">
        <f t="shared" si="103"/>
        <v>1 Hrs</v>
      </c>
    </row>
    <row r="501" spans="3:21" s="185" customFormat="1" ht="20.25" customHeight="1">
      <c r="C501" s="198">
        <f t="shared" ref="C501:C502" si="106">D501</f>
        <v>501</v>
      </c>
      <c r="D501" s="203">
        <f t="shared" si="100"/>
        <v>501</v>
      </c>
      <c r="E501" s="247" t="s">
        <v>505</v>
      </c>
      <c r="F501" s="210"/>
      <c r="G501" s="206"/>
      <c r="H501" s="206"/>
      <c r="I501" s="208"/>
      <c r="J501" s="208"/>
      <c r="K501" s="234"/>
      <c r="L501" s="208"/>
      <c r="M501" s="217"/>
      <c r="N501" s="208"/>
      <c r="O501" s="218"/>
      <c r="P501" s="208"/>
      <c r="Q501" s="240"/>
      <c r="R501" s="239"/>
      <c r="S501" s="240"/>
      <c r="T501" s="216"/>
      <c r="U501" s="196"/>
    </row>
    <row r="502" spans="3:21" s="185" customFormat="1" ht="20.25" customHeight="1">
      <c r="C502" s="198">
        <f t="shared" si="106"/>
        <v>502</v>
      </c>
      <c r="D502" s="203">
        <f t="shared" si="100"/>
        <v>502</v>
      </c>
      <c r="E502" s="209" t="s">
        <v>506</v>
      </c>
      <c r="F502" s="210">
        <v>7</v>
      </c>
      <c r="G502" s="206"/>
      <c r="H502" s="206"/>
      <c r="I502" s="208"/>
      <c r="J502" s="208"/>
      <c r="K502" s="234">
        <v>1</v>
      </c>
      <c r="L502" s="208" t="s">
        <v>39</v>
      </c>
      <c r="M502" s="217">
        <v>1</v>
      </c>
      <c r="N502" s="208" t="s">
        <v>39</v>
      </c>
      <c r="O502" s="218">
        <v>4</v>
      </c>
      <c r="P502" s="208" t="s">
        <v>41</v>
      </c>
      <c r="Q502" s="240">
        <f t="shared" si="102"/>
        <v>4</v>
      </c>
      <c r="R502" s="239"/>
      <c r="S502" s="240">
        <f t="shared" si="105"/>
        <v>4</v>
      </c>
      <c r="T502" s="216" t="s">
        <v>48</v>
      </c>
      <c r="U502" s="196" t="str">
        <f t="shared" si="103"/>
        <v>4 Hrs</v>
      </c>
    </row>
    <row r="503" spans="3:21" s="185" customFormat="1" ht="20.25" customHeight="1">
      <c r="C503" s="198"/>
      <c r="D503" s="203">
        <f t="shared" si="100"/>
        <v>503</v>
      </c>
      <c r="E503" s="207" t="s">
        <v>507</v>
      </c>
      <c r="F503" s="211"/>
      <c r="G503" s="206" t="s">
        <v>37</v>
      </c>
      <c r="H503" s="206"/>
      <c r="I503" s="224">
        <v>18</v>
      </c>
      <c r="J503" s="234" t="s">
        <v>508</v>
      </c>
      <c r="K503" s="234">
        <v>1</v>
      </c>
      <c r="L503" s="208" t="s">
        <v>81</v>
      </c>
      <c r="M503" s="227">
        <f>LEFT(J503,SEARCH(" ",J503,1)-1)*K503/1000</f>
        <v>0.373</v>
      </c>
      <c r="N503" s="208" t="s">
        <v>139</v>
      </c>
      <c r="O503" s="246">
        <f>VLOOKUP(I503,BM!$A$2:$X$104,2,FALSE)</f>
        <v>0.1</v>
      </c>
      <c r="P503" s="208" t="s">
        <v>47</v>
      </c>
      <c r="Q503" s="240">
        <f t="shared" si="102"/>
        <v>3.73E-2</v>
      </c>
      <c r="R503" s="239">
        <v>1</v>
      </c>
      <c r="S503" s="240">
        <f t="shared" si="105"/>
        <v>1.04</v>
      </c>
      <c r="T503" s="216" t="s">
        <v>48</v>
      </c>
      <c r="U503" s="196" t="str">
        <f t="shared" si="103"/>
        <v>1.04 Hrs</v>
      </c>
    </row>
    <row r="504" spans="3:21" s="185" customFormat="1" ht="20.25" customHeight="1">
      <c r="C504" s="198"/>
      <c r="D504" s="203">
        <f t="shared" si="100"/>
        <v>504</v>
      </c>
      <c r="E504" s="207" t="s">
        <v>509</v>
      </c>
      <c r="F504" s="211">
        <f t="shared" si="104"/>
        <v>503</v>
      </c>
      <c r="G504" s="206" t="s">
        <v>201</v>
      </c>
      <c r="H504" s="206"/>
      <c r="I504" s="224">
        <v>18</v>
      </c>
      <c r="J504" s="234" t="s">
        <v>510</v>
      </c>
      <c r="K504" s="234">
        <v>1</v>
      </c>
      <c r="L504" s="208" t="s">
        <v>81</v>
      </c>
      <c r="M504" s="227">
        <f t="shared" ref="M504:M508" si="107">LEFT(J504,SEARCH(" ",J504,1)-1)*K504/1000</f>
        <v>11.3</v>
      </c>
      <c r="N504" s="208" t="s">
        <v>139</v>
      </c>
      <c r="O504" s="246">
        <f>VLOOKUP(I504,BM!$A$2:$X$104,3,FALSE)</f>
        <v>0.25</v>
      </c>
      <c r="P504" s="208" t="s">
        <v>47</v>
      </c>
      <c r="Q504" s="240">
        <f t="shared" si="102"/>
        <v>2.8250000000000002</v>
      </c>
      <c r="R504" s="239">
        <v>1</v>
      </c>
      <c r="S504" s="240">
        <f t="shared" si="105"/>
        <v>3.83</v>
      </c>
      <c r="T504" s="216" t="s">
        <v>48</v>
      </c>
      <c r="U504" s="196" t="str">
        <f t="shared" si="103"/>
        <v>3.83 Hrs</v>
      </c>
    </row>
    <row r="505" spans="3:21" s="185" customFormat="1" ht="20.25" customHeight="1">
      <c r="C505" s="198"/>
      <c r="D505" s="203">
        <f t="shared" si="100"/>
        <v>505</v>
      </c>
      <c r="E505" s="207" t="s">
        <v>511</v>
      </c>
      <c r="F505" s="211">
        <f t="shared" si="104"/>
        <v>504</v>
      </c>
      <c r="G505" s="206" t="s">
        <v>52</v>
      </c>
      <c r="H505" s="206"/>
      <c r="I505" s="224">
        <v>18</v>
      </c>
      <c r="J505" s="208" t="str">
        <f t="shared" ref="J505:J508" si="108">J504</f>
        <v>11300 mm</v>
      </c>
      <c r="K505" s="234">
        <v>1</v>
      </c>
      <c r="L505" s="208" t="s">
        <v>81</v>
      </c>
      <c r="M505" s="227">
        <f t="shared" si="107"/>
        <v>11.3</v>
      </c>
      <c r="N505" s="208" t="s">
        <v>139</v>
      </c>
      <c r="O505" s="246">
        <f>VLOOKUP(I505,BM!$A$2:$X$104,4,FALSE)</f>
        <v>0.15</v>
      </c>
      <c r="P505" s="208" t="s">
        <v>47</v>
      </c>
      <c r="Q505" s="240">
        <f t="shared" si="102"/>
        <v>1.6950000000000001</v>
      </c>
      <c r="R505" s="239">
        <v>1</v>
      </c>
      <c r="S505" s="240">
        <f t="shared" si="105"/>
        <v>2.7</v>
      </c>
      <c r="T505" s="216" t="s">
        <v>48</v>
      </c>
      <c r="U505" s="196" t="str">
        <f t="shared" si="103"/>
        <v>2.7 Hrs</v>
      </c>
    </row>
    <row r="506" spans="3:21" s="185" customFormat="1" ht="20.25" customHeight="1">
      <c r="C506" s="198"/>
      <c r="D506" s="203">
        <f t="shared" si="100"/>
        <v>506</v>
      </c>
      <c r="E506" s="207" t="s">
        <v>512</v>
      </c>
      <c r="F506" s="211">
        <f t="shared" si="104"/>
        <v>505</v>
      </c>
      <c r="G506" s="206" t="s">
        <v>61</v>
      </c>
      <c r="H506" s="206"/>
      <c r="I506" s="224">
        <v>18</v>
      </c>
      <c r="J506" s="208" t="str">
        <f t="shared" si="108"/>
        <v>11300 mm</v>
      </c>
      <c r="K506" s="234">
        <v>1</v>
      </c>
      <c r="L506" s="208" t="s">
        <v>81</v>
      </c>
      <c r="M506" s="227">
        <f t="shared" si="107"/>
        <v>11.3</v>
      </c>
      <c r="N506" s="208" t="s">
        <v>139</v>
      </c>
      <c r="O506" s="246">
        <f>VLOOKUP(I506,BM!$A$2:$X$104,5,FALSE)</f>
        <v>0.5</v>
      </c>
      <c r="P506" s="208" t="s">
        <v>47</v>
      </c>
      <c r="Q506" s="240">
        <f t="shared" si="102"/>
        <v>5.65</v>
      </c>
      <c r="R506" s="239">
        <v>1</v>
      </c>
      <c r="S506" s="240">
        <f t="shared" si="105"/>
        <v>6.65</v>
      </c>
      <c r="T506" s="216" t="s">
        <v>48</v>
      </c>
      <c r="U506" s="196" t="str">
        <f t="shared" si="103"/>
        <v>6.65 Hrs</v>
      </c>
    </row>
    <row r="507" spans="3:21" s="185" customFormat="1" ht="20.25" customHeight="1">
      <c r="C507" s="198"/>
      <c r="D507" s="203">
        <f t="shared" si="100"/>
        <v>507</v>
      </c>
      <c r="E507" s="207" t="s">
        <v>513</v>
      </c>
      <c r="F507" s="211">
        <f t="shared" si="104"/>
        <v>506</v>
      </c>
      <c r="G507" s="206" t="s">
        <v>224</v>
      </c>
      <c r="H507" s="206"/>
      <c r="I507" s="224">
        <v>18</v>
      </c>
      <c r="J507" s="208" t="str">
        <f t="shared" si="108"/>
        <v>11300 mm</v>
      </c>
      <c r="K507" s="234">
        <v>1</v>
      </c>
      <c r="L507" s="208" t="s">
        <v>81</v>
      </c>
      <c r="M507" s="227">
        <f t="shared" si="107"/>
        <v>11.3</v>
      </c>
      <c r="N507" s="208" t="s">
        <v>139</v>
      </c>
      <c r="O507" s="246">
        <f>VLOOKUP(I507,BM!$A$2:$X$104,6,FALSE)</f>
        <v>1</v>
      </c>
      <c r="P507" s="208" t="s">
        <v>47</v>
      </c>
      <c r="Q507" s="240">
        <f t="shared" si="102"/>
        <v>11.3</v>
      </c>
      <c r="R507" s="239">
        <v>1</v>
      </c>
      <c r="S507" s="240">
        <f t="shared" si="105"/>
        <v>12.3</v>
      </c>
      <c r="T507" s="216" t="s">
        <v>48</v>
      </c>
      <c r="U507" s="196" t="str">
        <f t="shared" si="103"/>
        <v>12.3 Hrs</v>
      </c>
    </row>
    <row r="508" spans="3:21" s="185" customFormat="1" ht="20.25" customHeight="1">
      <c r="C508" s="198"/>
      <c r="D508" s="203">
        <f t="shared" si="100"/>
        <v>508</v>
      </c>
      <c r="E508" s="207" t="s">
        <v>416</v>
      </c>
      <c r="F508" s="211">
        <f t="shared" si="104"/>
        <v>507</v>
      </c>
      <c r="G508" s="206" t="s">
        <v>61</v>
      </c>
      <c r="H508" s="206"/>
      <c r="I508" s="224">
        <v>18</v>
      </c>
      <c r="J508" s="208" t="str">
        <f t="shared" si="108"/>
        <v>11300 mm</v>
      </c>
      <c r="K508" s="234">
        <v>1</v>
      </c>
      <c r="L508" s="208" t="s">
        <v>81</v>
      </c>
      <c r="M508" s="227">
        <f t="shared" si="107"/>
        <v>11.3</v>
      </c>
      <c r="N508" s="208" t="s">
        <v>139</v>
      </c>
      <c r="O508" s="246">
        <f>VLOOKUP(I508,BM!$A$2:$X$104,6,FALSE)</f>
        <v>1</v>
      </c>
      <c r="P508" s="208" t="s">
        <v>47</v>
      </c>
      <c r="Q508" s="240">
        <f t="shared" si="102"/>
        <v>11.3</v>
      </c>
      <c r="R508" s="239">
        <v>1</v>
      </c>
      <c r="S508" s="240">
        <f t="shared" si="105"/>
        <v>12.3</v>
      </c>
      <c r="T508" s="216" t="s">
        <v>48</v>
      </c>
      <c r="U508" s="196" t="str">
        <f t="shared" si="103"/>
        <v>12.3 Hrs</v>
      </c>
    </row>
    <row r="509" spans="3:21" s="185" customFormat="1" ht="20.25" customHeight="1">
      <c r="C509" s="198">
        <f>D509</f>
        <v>509</v>
      </c>
      <c r="D509" s="203">
        <f t="shared" si="100"/>
        <v>509</v>
      </c>
      <c r="E509" s="209" t="s">
        <v>514</v>
      </c>
      <c r="F509" s="210">
        <f>C502</f>
        <v>502</v>
      </c>
      <c r="G509" s="206"/>
      <c r="H509" s="206"/>
      <c r="I509" s="208"/>
      <c r="J509" s="208"/>
      <c r="K509" s="234"/>
      <c r="L509" s="208"/>
      <c r="M509" s="217"/>
      <c r="N509" s="208"/>
      <c r="O509" s="218"/>
      <c r="P509" s="208"/>
      <c r="Q509" s="240"/>
      <c r="R509" s="239"/>
      <c r="S509" s="240"/>
      <c r="T509" s="216"/>
      <c r="U509" s="196"/>
    </row>
    <row r="510" spans="3:21" s="185" customFormat="1" ht="20.25" customHeight="1">
      <c r="C510" s="198"/>
      <c r="D510" s="203">
        <f t="shared" si="100"/>
        <v>510</v>
      </c>
      <c r="E510" s="207" t="s">
        <v>515</v>
      </c>
      <c r="F510" s="211"/>
      <c r="G510" s="206" t="s">
        <v>286</v>
      </c>
      <c r="H510" s="206"/>
      <c r="I510" s="233">
        <f>I508</f>
        <v>18</v>
      </c>
      <c r="J510" s="225" t="s">
        <v>516</v>
      </c>
      <c r="K510" s="234">
        <v>1</v>
      </c>
      <c r="L510" s="208" t="s">
        <v>81</v>
      </c>
      <c r="M510" s="217">
        <v>1</v>
      </c>
      <c r="N510" s="208" t="s">
        <v>139</v>
      </c>
      <c r="O510" s="218">
        <v>3</v>
      </c>
      <c r="P510" s="208" t="s">
        <v>112</v>
      </c>
      <c r="Q510" s="240">
        <f t="shared" si="102"/>
        <v>3</v>
      </c>
      <c r="R510" s="239">
        <v>1</v>
      </c>
      <c r="S510" s="240">
        <f t="shared" si="105"/>
        <v>4</v>
      </c>
      <c r="T510" s="216" t="s">
        <v>48</v>
      </c>
      <c r="U510" s="196" t="str">
        <f t="shared" si="103"/>
        <v>4 Hrs</v>
      </c>
    </row>
    <row r="511" spans="3:21" s="185" customFormat="1" ht="20.25" customHeight="1">
      <c r="C511" s="198"/>
      <c r="D511" s="203">
        <f t="shared" si="100"/>
        <v>511</v>
      </c>
      <c r="E511" s="207" t="s">
        <v>517</v>
      </c>
      <c r="F511" s="211">
        <f t="shared" si="104"/>
        <v>510</v>
      </c>
      <c r="G511" s="206" t="s">
        <v>420</v>
      </c>
      <c r="H511" s="206"/>
      <c r="I511" s="233">
        <f t="shared" ref="I511:J513" si="109">I510</f>
        <v>18</v>
      </c>
      <c r="J511" s="211" t="str">
        <f t="shared" si="109"/>
        <v>1664 mm id</v>
      </c>
      <c r="K511" s="234">
        <v>1</v>
      </c>
      <c r="L511" s="208" t="s">
        <v>81</v>
      </c>
      <c r="M511" s="227">
        <f>LEFT(J511,SEARCH(" ",J511,1)-1)*K511*2/1000</f>
        <v>3.3279999999999998</v>
      </c>
      <c r="N511" s="208" t="s">
        <v>39</v>
      </c>
      <c r="O511" s="246">
        <f>VLOOKUP(I511,BM!$A$2:$X$104,8,FALSE)</f>
        <v>0.3</v>
      </c>
      <c r="P511" s="208" t="s">
        <v>112</v>
      </c>
      <c r="Q511" s="240">
        <f t="shared" si="102"/>
        <v>0.99839999999999995</v>
      </c>
      <c r="R511" s="239">
        <v>1</v>
      </c>
      <c r="S511" s="240">
        <f t="shared" si="105"/>
        <v>2</v>
      </c>
      <c r="T511" s="216" t="s">
        <v>48</v>
      </c>
      <c r="U511" s="196" t="str">
        <f t="shared" si="103"/>
        <v>2 Hrs</v>
      </c>
    </row>
    <row r="512" spans="3:21" s="185" customFormat="1" ht="20.25" customHeight="1">
      <c r="C512" s="198"/>
      <c r="D512" s="203">
        <f t="shared" si="100"/>
        <v>512</v>
      </c>
      <c r="E512" s="207" t="s">
        <v>518</v>
      </c>
      <c r="F512" s="211">
        <f t="shared" si="104"/>
        <v>511</v>
      </c>
      <c r="G512" s="206" t="s">
        <v>348</v>
      </c>
      <c r="H512" s="206"/>
      <c r="I512" s="233">
        <f t="shared" si="109"/>
        <v>18</v>
      </c>
      <c r="J512" s="211" t="str">
        <f t="shared" si="109"/>
        <v>1664 mm id</v>
      </c>
      <c r="K512" s="234">
        <v>1</v>
      </c>
      <c r="L512" s="208" t="s">
        <v>81</v>
      </c>
      <c r="M512" s="227">
        <f>LEFT(J512,SEARCH(" ",J512,1)-1)*K512*2/1000</f>
        <v>3.3279999999999998</v>
      </c>
      <c r="N512" s="208" t="s">
        <v>139</v>
      </c>
      <c r="O512" s="246">
        <f>VLOOKUP(I512,BM!$A$2:$X$104,9,FALSE)</f>
        <v>1</v>
      </c>
      <c r="P512" s="208" t="s">
        <v>112</v>
      </c>
      <c r="Q512" s="240">
        <f t="shared" si="102"/>
        <v>3.3279999999999998</v>
      </c>
      <c r="R512" s="239">
        <v>1</v>
      </c>
      <c r="S512" s="240">
        <f t="shared" si="105"/>
        <v>4.33</v>
      </c>
      <c r="T512" s="216" t="s">
        <v>48</v>
      </c>
      <c r="U512" s="196" t="str">
        <f t="shared" si="103"/>
        <v>4.33 Hrs</v>
      </c>
    </row>
    <row r="513" spans="3:21" s="185" customFormat="1" ht="20.25" customHeight="1">
      <c r="C513" s="198"/>
      <c r="D513" s="203">
        <f t="shared" si="100"/>
        <v>513</v>
      </c>
      <c r="E513" s="207" t="s">
        <v>519</v>
      </c>
      <c r="F513" s="211">
        <f t="shared" si="104"/>
        <v>512</v>
      </c>
      <c r="G513" s="206" t="s">
        <v>286</v>
      </c>
      <c r="H513" s="206"/>
      <c r="I513" s="233">
        <f t="shared" si="109"/>
        <v>18</v>
      </c>
      <c r="J513" s="211" t="str">
        <f t="shared" si="109"/>
        <v>1664 mm id</v>
      </c>
      <c r="K513" s="234">
        <v>1</v>
      </c>
      <c r="L513" s="208" t="s">
        <v>81</v>
      </c>
      <c r="M513" s="227">
        <v>1</v>
      </c>
      <c r="N513" s="208" t="s">
        <v>39</v>
      </c>
      <c r="O513" s="218">
        <v>3</v>
      </c>
      <c r="P513" s="208" t="s">
        <v>112</v>
      </c>
      <c r="Q513" s="240">
        <f t="shared" si="102"/>
        <v>3</v>
      </c>
      <c r="R513" s="239">
        <v>1</v>
      </c>
      <c r="S513" s="240">
        <f t="shared" si="105"/>
        <v>4</v>
      </c>
      <c r="T513" s="216" t="s">
        <v>48</v>
      </c>
      <c r="U513" s="196" t="str">
        <f t="shared" si="103"/>
        <v>4 Hrs</v>
      </c>
    </row>
    <row r="514" spans="3:21" s="185" customFormat="1" ht="20.25" customHeight="1">
      <c r="C514" s="198">
        <f>D514</f>
        <v>514</v>
      </c>
      <c r="D514" s="203">
        <f t="shared" si="100"/>
        <v>514</v>
      </c>
      <c r="E514" s="209" t="s">
        <v>520</v>
      </c>
      <c r="F514" s="210">
        <f>C509</f>
        <v>509</v>
      </c>
      <c r="G514" s="206"/>
      <c r="H514" s="206"/>
      <c r="I514" s="208"/>
      <c r="J514" s="208"/>
      <c r="K514" s="234"/>
      <c r="L514" s="208"/>
      <c r="M514" s="217"/>
      <c r="N514" s="208"/>
      <c r="O514" s="218"/>
      <c r="P514" s="208"/>
      <c r="Q514" s="240"/>
      <c r="R514" s="239"/>
      <c r="S514" s="240"/>
      <c r="T514" s="216"/>
      <c r="U514" s="196"/>
    </row>
    <row r="515" spans="3:21" s="185" customFormat="1" ht="20.25" customHeight="1">
      <c r="C515" s="198"/>
      <c r="D515" s="203">
        <f t="shared" ref="D515:D578" si="110">D514+1</f>
        <v>515</v>
      </c>
      <c r="E515" s="207" t="s">
        <v>521</v>
      </c>
      <c r="F515" s="211"/>
      <c r="G515" s="206" t="s">
        <v>348</v>
      </c>
      <c r="H515" s="206"/>
      <c r="I515" s="233">
        <f>I513</f>
        <v>18</v>
      </c>
      <c r="J515" s="211" t="str">
        <f>J513</f>
        <v>1664 mm id</v>
      </c>
      <c r="K515" s="234">
        <v>1</v>
      </c>
      <c r="L515" s="208" t="s">
        <v>81</v>
      </c>
      <c r="M515" s="227">
        <f t="shared" ref="M515" si="111">LEFT(J515,SEARCH(" ",J515,1)-1)*K515*2/1000</f>
        <v>3.3279999999999998</v>
      </c>
      <c r="N515" s="208" t="s">
        <v>139</v>
      </c>
      <c r="O515" s="246">
        <f>VLOOKUP(I515,BM!$A$2:$X$104,9,FALSE)</f>
        <v>1</v>
      </c>
      <c r="P515" s="208" t="s">
        <v>112</v>
      </c>
      <c r="Q515" s="240">
        <f t="shared" si="102"/>
        <v>3.3279999999999998</v>
      </c>
      <c r="R515" s="239">
        <v>1</v>
      </c>
      <c r="S515" s="240">
        <f t="shared" si="105"/>
        <v>4.33</v>
      </c>
      <c r="T515" s="216" t="s">
        <v>48</v>
      </c>
      <c r="U515" s="196" t="str">
        <f t="shared" si="103"/>
        <v>4.33 Hrs</v>
      </c>
    </row>
    <row r="516" spans="3:21" s="185" customFormat="1" ht="20.25" customHeight="1">
      <c r="C516" s="198"/>
      <c r="D516" s="203">
        <f t="shared" si="110"/>
        <v>516</v>
      </c>
      <c r="E516" s="207" t="s">
        <v>522</v>
      </c>
      <c r="F516" s="211">
        <f t="shared" si="104"/>
        <v>515</v>
      </c>
      <c r="G516" s="206" t="s">
        <v>111</v>
      </c>
      <c r="H516" s="206"/>
      <c r="I516" s="233">
        <f>I515</f>
        <v>18</v>
      </c>
      <c r="J516" s="211" t="str">
        <f>J513</f>
        <v>1664 mm id</v>
      </c>
      <c r="K516" s="234">
        <v>1</v>
      </c>
      <c r="L516" s="208" t="s">
        <v>81</v>
      </c>
      <c r="M516" s="227">
        <f>LEFT(J516,SEARCH(" ",J516,1)-1)*K516/1000</f>
        <v>1.6639999999999999</v>
      </c>
      <c r="N516" s="208" t="s">
        <v>139</v>
      </c>
      <c r="O516" s="246">
        <f>VLOOKUP(I516,BM!$A$2:$X$104,10,FALSE)</f>
        <v>1</v>
      </c>
      <c r="P516" s="208" t="s">
        <v>112</v>
      </c>
      <c r="Q516" s="240">
        <f t="shared" si="102"/>
        <v>1.6639999999999999</v>
      </c>
      <c r="R516" s="239">
        <v>1</v>
      </c>
      <c r="S516" s="240">
        <f t="shared" si="105"/>
        <v>2.66</v>
      </c>
      <c r="T516" s="216" t="s">
        <v>48</v>
      </c>
      <c r="U516" s="196" t="str">
        <f t="shared" si="103"/>
        <v>2.66 Hrs</v>
      </c>
    </row>
    <row r="517" spans="3:21" s="185" customFormat="1" ht="20.25" customHeight="1">
      <c r="C517" s="198">
        <f>D517</f>
        <v>517</v>
      </c>
      <c r="D517" s="203">
        <f t="shared" si="110"/>
        <v>517</v>
      </c>
      <c r="E517" s="209" t="s">
        <v>523</v>
      </c>
      <c r="F517" s="210">
        <f>C514</f>
        <v>514</v>
      </c>
      <c r="G517" s="206"/>
      <c r="H517" s="206"/>
      <c r="I517" s="208"/>
      <c r="J517" s="208"/>
      <c r="K517" s="234"/>
      <c r="L517" s="208"/>
      <c r="M517" s="217"/>
      <c r="N517" s="208"/>
      <c r="O517" s="218"/>
      <c r="P517" s="208"/>
      <c r="Q517" s="240"/>
      <c r="R517" s="239"/>
      <c r="S517" s="240"/>
      <c r="T517" s="216"/>
      <c r="U517" s="196"/>
    </row>
    <row r="518" spans="3:21" s="185" customFormat="1" ht="20.25" customHeight="1">
      <c r="C518" s="198"/>
      <c r="D518" s="203">
        <f t="shared" si="110"/>
        <v>518</v>
      </c>
      <c r="E518" s="207" t="s">
        <v>524</v>
      </c>
      <c r="F518" s="211"/>
      <c r="G518" s="206" t="s">
        <v>201</v>
      </c>
      <c r="H518" s="206"/>
      <c r="I518" s="233">
        <f>I516</f>
        <v>18</v>
      </c>
      <c r="J518" s="211" t="str">
        <f t="shared" ref="J518" si="112">J516</f>
        <v>1664 mm id</v>
      </c>
      <c r="K518" s="234">
        <v>1</v>
      </c>
      <c r="L518" s="208" t="s">
        <v>81</v>
      </c>
      <c r="M518" s="217">
        <v>1</v>
      </c>
      <c r="N518" s="208" t="s">
        <v>39</v>
      </c>
      <c r="O518" s="218">
        <v>1</v>
      </c>
      <c r="P518" s="208" t="s">
        <v>112</v>
      </c>
      <c r="Q518" s="240">
        <f t="shared" si="102"/>
        <v>1</v>
      </c>
      <c r="R518" s="239">
        <v>1</v>
      </c>
      <c r="S518" s="240">
        <f t="shared" si="105"/>
        <v>2</v>
      </c>
      <c r="T518" s="216" t="s">
        <v>48</v>
      </c>
      <c r="U518" s="196" t="str">
        <f t="shared" si="103"/>
        <v>2 Hrs</v>
      </c>
    </row>
    <row r="519" spans="3:21" s="185" customFormat="1" ht="20.25" customHeight="1">
      <c r="C519" s="198"/>
      <c r="D519" s="203">
        <f t="shared" si="110"/>
        <v>519</v>
      </c>
      <c r="E519" s="207" t="s">
        <v>525</v>
      </c>
      <c r="F519" s="211">
        <f t="shared" si="104"/>
        <v>518</v>
      </c>
      <c r="G519" s="206" t="s">
        <v>115</v>
      </c>
      <c r="H519" s="206"/>
      <c r="I519" s="224">
        <v>12</v>
      </c>
      <c r="J519" s="211" t="str">
        <f t="shared" ref="J519:J523" si="113">J518</f>
        <v>1664 mm id</v>
      </c>
      <c r="K519" s="234">
        <v>1</v>
      </c>
      <c r="L519" s="208" t="s">
        <v>81</v>
      </c>
      <c r="M519" s="227">
        <f t="shared" ref="M519:M522" si="114">LEFT(J519,SEARCH(" ",J519,1)-1)*K519/1000</f>
        <v>1.6639999999999999</v>
      </c>
      <c r="N519" s="208" t="s">
        <v>139</v>
      </c>
      <c r="O519" s="246">
        <f>VLOOKUP(I519,BM!$A$2:$X$104,12,FALSE)</f>
        <v>2.5</v>
      </c>
      <c r="P519" s="208" t="s">
        <v>112</v>
      </c>
      <c r="Q519" s="240">
        <f t="shared" si="102"/>
        <v>4.16</v>
      </c>
      <c r="R519" s="239">
        <v>1</v>
      </c>
      <c r="S519" s="240">
        <f t="shared" si="105"/>
        <v>5.16</v>
      </c>
      <c r="T519" s="216" t="s">
        <v>48</v>
      </c>
      <c r="U519" s="196" t="str">
        <f t="shared" si="103"/>
        <v>5.16 Hrs</v>
      </c>
    </row>
    <row r="520" spans="3:21" s="185" customFormat="1" ht="20.25" customHeight="1">
      <c r="C520" s="198"/>
      <c r="D520" s="203">
        <f t="shared" si="110"/>
        <v>520</v>
      </c>
      <c r="E520" s="207" t="s">
        <v>526</v>
      </c>
      <c r="F520" s="211">
        <f t="shared" si="104"/>
        <v>519</v>
      </c>
      <c r="G520" s="206" t="s">
        <v>121</v>
      </c>
      <c r="H520" s="206"/>
      <c r="I520" s="224">
        <v>18</v>
      </c>
      <c r="J520" s="211" t="str">
        <f t="shared" si="113"/>
        <v>1664 mm id</v>
      </c>
      <c r="K520" s="234">
        <v>1</v>
      </c>
      <c r="L520" s="208" t="s">
        <v>81</v>
      </c>
      <c r="M520" s="227">
        <f t="shared" si="114"/>
        <v>1.6639999999999999</v>
      </c>
      <c r="N520" s="208" t="s">
        <v>139</v>
      </c>
      <c r="O520" s="246">
        <f>VLOOKUP(I520,BM!$A$2:$X$104,18,FALSE)</f>
        <v>1</v>
      </c>
      <c r="P520" s="208" t="s">
        <v>112</v>
      </c>
      <c r="Q520" s="240">
        <f t="shared" si="102"/>
        <v>1.6639999999999999</v>
      </c>
      <c r="R520" s="239">
        <v>1</v>
      </c>
      <c r="S520" s="240">
        <f t="shared" si="105"/>
        <v>2.66</v>
      </c>
      <c r="T520" s="216" t="s">
        <v>48</v>
      </c>
      <c r="U520" s="196" t="str">
        <f t="shared" si="103"/>
        <v>2.66 Hrs</v>
      </c>
    </row>
    <row r="521" spans="3:21" s="185" customFormat="1" ht="20.25" customHeight="1">
      <c r="C521" s="198"/>
      <c r="D521" s="203">
        <f t="shared" si="110"/>
        <v>521</v>
      </c>
      <c r="E521" s="207" t="s">
        <v>527</v>
      </c>
      <c r="F521" s="211">
        <f t="shared" si="104"/>
        <v>520</v>
      </c>
      <c r="G521" s="206" t="s">
        <v>115</v>
      </c>
      <c r="H521" s="206"/>
      <c r="I521" s="224">
        <v>6</v>
      </c>
      <c r="J521" s="211" t="str">
        <f t="shared" si="113"/>
        <v>1664 mm id</v>
      </c>
      <c r="K521" s="234">
        <v>1</v>
      </c>
      <c r="L521" s="208" t="s">
        <v>81</v>
      </c>
      <c r="M521" s="227">
        <f t="shared" si="114"/>
        <v>1.6639999999999999</v>
      </c>
      <c r="N521" s="208" t="s">
        <v>139</v>
      </c>
      <c r="O521" s="246">
        <f>VLOOKUP(I521,BM!$A$2:$X$104,12,FALSE)</f>
        <v>0.9</v>
      </c>
      <c r="P521" s="208" t="s">
        <v>112</v>
      </c>
      <c r="Q521" s="240">
        <f t="shared" si="102"/>
        <v>1.4976</v>
      </c>
      <c r="R521" s="239">
        <v>1</v>
      </c>
      <c r="S521" s="240">
        <f t="shared" si="105"/>
        <v>2.5</v>
      </c>
      <c r="T521" s="216" t="s">
        <v>48</v>
      </c>
      <c r="U521" s="196" t="str">
        <f t="shared" si="103"/>
        <v>2.5 Hrs</v>
      </c>
    </row>
    <row r="522" spans="3:21" s="185" customFormat="1" ht="20.25" customHeight="1">
      <c r="C522" s="198"/>
      <c r="D522" s="203">
        <f t="shared" si="110"/>
        <v>522</v>
      </c>
      <c r="E522" s="207" t="s">
        <v>528</v>
      </c>
      <c r="F522" s="211">
        <f t="shared" si="104"/>
        <v>521</v>
      </c>
      <c r="G522" s="206" t="s">
        <v>61</v>
      </c>
      <c r="H522" s="206"/>
      <c r="I522" s="224">
        <v>6</v>
      </c>
      <c r="J522" s="211" t="str">
        <f t="shared" si="113"/>
        <v>1664 mm id</v>
      </c>
      <c r="K522" s="234">
        <v>1</v>
      </c>
      <c r="L522" s="208" t="s">
        <v>81</v>
      </c>
      <c r="M522" s="227">
        <f t="shared" si="114"/>
        <v>1.6639999999999999</v>
      </c>
      <c r="N522" s="208" t="s">
        <v>139</v>
      </c>
      <c r="O522" s="246">
        <f>VLOOKUP(I522,BM!$A$2:$X$104,20,FALSE)</f>
        <v>0.5</v>
      </c>
      <c r="P522" s="208" t="s">
        <v>112</v>
      </c>
      <c r="Q522" s="240">
        <f t="shared" si="102"/>
        <v>0.83199999999999996</v>
      </c>
      <c r="R522" s="239">
        <v>1</v>
      </c>
      <c r="S522" s="240">
        <f t="shared" si="105"/>
        <v>1.83</v>
      </c>
      <c r="T522" s="216" t="s">
        <v>48</v>
      </c>
      <c r="U522" s="196" t="str">
        <f t="shared" si="103"/>
        <v>1.83 Hrs</v>
      </c>
    </row>
    <row r="523" spans="3:21" s="185" customFormat="1" ht="20.25" customHeight="1">
      <c r="C523" s="198"/>
      <c r="D523" s="203">
        <f t="shared" si="110"/>
        <v>523</v>
      </c>
      <c r="E523" s="207" t="s">
        <v>529</v>
      </c>
      <c r="F523" s="211">
        <f t="shared" si="104"/>
        <v>522</v>
      </c>
      <c r="G523" s="206" t="s">
        <v>286</v>
      </c>
      <c r="H523" s="206"/>
      <c r="I523" s="224">
        <v>18</v>
      </c>
      <c r="J523" s="211" t="str">
        <f t="shared" si="113"/>
        <v>1664 mm id</v>
      </c>
      <c r="K523" s="234">
        <v>1</v>
      </c>
      <c r="L523" s="208" t="s">
        <v>81</v>
      </c>
      <c r="M523" s="217">
        <v>1</v>
      </c>
      <c r="N523" s="208" t="s">
        <v>139</v>
      </c>
      <c r="O523" s="218">
        <v>3</v>
      </c>
      <c r="P523" s="208" t="s">
        <v>112</v>
      </c>
      <c r="Q523" s="240">
        <f t="shared" si="102"/>
        <v>3</v>
      </c>
      <c r="R523" s="239">
        <v>1</v>
      </c>
      <c r="S523" s="240">
        <f t="shared" si="105"/>
        <v>4</v>
      </c>
      <c r="T523" s="216" t="s">
        <v>48</v>
      </c>
      <c r="U523" s="196" t="str">
        <f t="shared" si="103"/>
        <v>4 Hrs</v>
      </c>
    </row>
    <row r="524" spans="3:21" s="185" customFormat="1" ht="20.25" customHeight="1">
      <c r="C524" s="198">
        <f>D524</f>
        <v>524</v>
      </c>
      <c r="D524" s="203">
        <f t="shared" si="110"/>
        <v>524</v>
      </c>
      <c r="E524" s="209" t="s">
        <v>530</v>
      </c>
      <c r="F524" s="210"/>
      <c r="G524" s="206"/>
      <c r="H524" s="206"/>
      <c r="I524" s="208"/>
      <c r="J524" s="208"/>
      <c r="K524" s="234"/>
      <c r="L524" s="208"/>
      <c r="M524" s="217"/>
      <c r="N524" s="208"/>
      <c r="O524" s="218"/>
      <c r="P524" s="208"/>
      <c r="Q524" s="240"/>
      <c r="R524" s="239"/>
      <c r="S524" s="240"/>
      <c r="T524" s="216"/>
      <c r="U524" s="196"/>
    </row>
    <row r="525" spans="3:21" s="185" customFormat="1" ht="20.25" customHeight="1">
      <c r="C525" s="198"/>
      <c r="D525" s="203">
        <f t="shared" si="110"/>
        <v>525</v>
      </c>
      <c r="E525" s="207" t="s">
        <v>531</v>
      </c>
      <c r="F525" s="211"/>
      <c r="G525" s="206" t="s">
        <v>312</v>
      </c>
      <c r="H525" s="206"/>
      <c r="I525" s="233">
        <f>I523</f>
        <v>18</v>
      </c>
      <c r="J525" s="211" t="str">
        <f t="shared" ref="J525:M525" si="115">J523</f>
        <v>1664 mm id</v>
      </c>
      <c r="K525" s="225">
        <f t="shared" si="115"/>
        <v>1</v>
      </c>
      <c r="L525" s="211" t="str">
        <f t="shared" si="115"/>
        <v>Nos</v>
      </c>
      <c r="M525" s="211">
        <f t="shared" si="115"/>
        <v>1</v>
      </c>
      <c r="N525" s="208" t="s">
        <v>39</v>
      </c>
      <c r="O525" s="218">
        <v>1</v>
      </c>
      <c r="P525" s="208" t="s">
        <v>41</v>
      </c>
      <c r="Q525" s="240">
        <f t="shared" si="102"/>
        <v>1</v>
      </c>
      <c r="R525" s="211"/>
      <c r="S525" s="240">
        <f t="shared" si="105"/>
        <v>1</v>
      </c>
      <c r="T525" s="216" t="s">
        <v>42</v>
      </c>
      <c r="U525" s="196" t="str">
        <f t="shared" si="103"/>
        <v>1 Days</v>
      </c>
    </row>
    <row r="526" spans="3:21" s="185" customFormat="1" ht="20.25" customHeight="1">
      <c r="C526" s="198">
        <f>D526</f>
        <v>526</v>
      </c>
      <c r="D526" s="203">
        <f t="shared" si="110"/>
        <v>526</v>
      </c>
      <c r="E526" s="209" t="s">
        <v>532</v>
      </c>
      <c r="F526" s="210">
        <f>C524</f>
        <v>524</v>
      </c>
      <c r="G526" s="206"/>
      <c r="H526" s="206"/>
      <c r="I526" s="208"/>
      <c r="J526" s="208"/>
      <c r="K526" s="234"/>
      <c r="L526" s="208"/>
      <c r="M526" s="217"/>
      <c r="N526" s="208"/>
      <c r="O526" s="218"/>
      <c r="P526" s="208"/>
      <c r="Q526" s="240"/>
      <c r="R526" s="239"/>
      <c r="S526" s="240"/>
      <c r="T526" s="216"/>
      <c r="U526" s="196"/>
    </row>
    <row r="527" spans="3:21" s="185" customFormat="1" ht="20.25" customHeight="1">
      <c r="C527" s="198"/>
      <c r="D527" s="203">
        <f t="shared" si="110"/>
        <v>527</v>
      </c>
      <c r="E527" s="207" t="s">
        <v>533</v>
      </c>
      <c r="F527" s="211"/>
      <c r="G527" s="206" t="s">
        <v>348</v>
      </c>
      <c r="H527" s="206"/>
      <c r="I527" s="224">
        <v>18</v>
      </c>
      <c r="J527" s="211" t="str">
        <f>J525</f>
        <v>1664 mm id</v>
      </c>
      <c r="K527" s="234">
        <v>1</v>
      </c>
      <c r="L527" s="208" t="s">
        <v>81</v>
      </c>
      <c r="M527" s="227">
        <f>LEFT(J527,SEARCH(" ",J527,1)-1)*K527*3.142/1000</f>
        <v>5.2282879999999992</v>
      </c>
      <c r="N527" s="208" t="s">
        <v>139</v>
      </c>
      <c r="O527" s="246">
        <f>VLOOKUP(I527,BM!$A$2:$X$104,15,FALSE)</f>
        <v>1</v>
      </c>
      <c r="P527" s="208" t="s">
        <v>112</v>
      </c>
      <c r="Q527" s="240">
        <f t="shared" si="102"/>
        <v>5.2282879999999992</v>
      </c>
      <c r="R527" s="239">
        <v>1</v>
      </c>
      <c r="S527" s="240">
        <f t="shared" si="105"/>
        <v>6.23</v>
      </c>
      <c r="T527" s="216" t="s">
        <v>48</v>
      </c>
      <c r="U527" s="196" t="str">
        <f t="shared" si="103"/>
        <v>6.23 Hrs</v>
      </c>
    </row>
    <row r="528" spans="3:21" s="185" customFormat="1" ht="20.25" customHeight="1">
      <c r="C528" s="198"/>
      <c r="D528" s="203">
        <f t="shared" si="110"/>
        <v>528</v>
      </c>
      <c r="E528" s="207" t="s">
        <v>534</v>
      </c>
      <c r="F528" s="211">
        <f t="shared" si="104"/>
        <v>527</v>
      </c>
      <c r="G528" s="206" t="s">
        <v>111</v>
      </c>
      <c r="H528" s="206"/>
      <c r="I528" s="224">
        <v>18</v>
      </c>
      <c r="J528" s="211" t="str">
        <f>J527</f>
        <v>1664 mm id</v>
      </c>
      <c r="K528" s="234">
        <v>1</v>
      </c>
      <c r="L528" s="208" t="s">
        <v>81</v>
      </c>
      <c r="M528" s="227">
        <f>LEFT(J528,SEARCH(" ",J528,1)-1)*K528*3.142/1000</f>
        <v>5.2282879999999992</v>
      </c>
      <c r="N528" s="208" t="s">
        <v>39</v>
      </c>
      <c r="O528" s="246">
        <f>VLOOKUP(I528,BM!$A$2:$X$104,16,FALSE)</f>
        <v>1</v>
      </c>
      <c r="P528" s="208" t="s">
        <v>112</v>
      </c>
      <c r="Q528" s="240">
        <f t="shared" si="102"/>
        <v>5.2282879999999992</v>
      </c>
      <c r="R528" s="239">
        <v>1</v>
      </c>
      <c r="S528" s="240">
        <f t="shared" si="105"/>
        <v>6.23</v>
      </c>
      <c r="T528" s="216" t="s">
        <v>48</v>
      </c>
      <c r="U528" s="196" t="str">
        <f t="shared" si="103"/>
        <v>6.23 Hrs</v>
      </c>
    </row>
    <row r="529" spans="3:21" s="185" customFormat="1" ht="20.25" customHeight="1">
      <c r="C529" s="198"/>
      <c r="D529" s="203">
        <f t="shared" si="110"/>
        <v>529</v>
      </c>
      <c r="E529" s="207" t="s">
        <v>535</v>
      </c>
      <c r="F529" s="211">
        <f t="shared" si="104"/>
        <v>528</v>
      </c>
      <c r="G529" s="206" t="s">
        <v>44</v>
      </c>
      <c r="H529" s="206"/>
      <c r="I529" s="224">
        <v>18</v>
      </c>
      <c r="J529" s="211" t="str">
        <f>J528</f>
        <v>1664 mm id</v>
      </c>
      <c r="K529" s="234">
        <v>1</v>
      </c>
      <c r="L529" s="208" t="s">
        <v>81</v>
      </c>
      <c r="M529" s="227">
        <f t="shared" ref="M529" si="116">LEFT(J529,SEARCH(" ",J529,1)-1)*K529*3.142/1000</f>
        <v>5.2282879999999992</v>
      </c>
      <c r="N529" s="208" t="s">
        <v>50</v>
      </c>
      <c r="O529" s="218">
        <v>0.25</v>
      </c>
      <c r="P529" s="208" t="s">
        <v>112</v>
      </c>
      <c r="Q529" s="240">
        <f t="shared" si="102"/>
        <v>1.3070719999999998</v>
      </c>
      <c r="R529" s="239">
        <v>1</v>
      </c>
      <c r="S529" s="240">
        <f t="shared" si="105"/>
        <v>2.31</v>
      </c>
      <c r="T529" s="216" t="s">
        <v>48</v>
      </c>
      <c r="U529" s="196" t="str">
        <f t="shared" si="103"/>
        <v>2.31 Hrs</v>
      </c>
    </row>
    <row r="530" spans="3:21" s="185" customFormat="1" ht="20.25" customHeight="1">
      <c r="C530" s="198">
        <f>D530</f>
        <v>530</v>
      </c>
      <c r="D530" s="203">
        <f t="shared" si="110"/>
        <v>530</v>
      </c>
      <c r="E530" s="209" t="s">
        <v>536</v>
      </c>
      <c r="F530" s="210">
        <f>C526</f>
        <v>526</v>
      </c>
      <c r="G530" s="206"/>
      <c r="H530" s="206"/>
      <c r="I530" s="208"/>
      <c r="J530" s="208"/>
      <c r="K530" s="234"/>
      <c r="L530" s="208"/>
      <c r="M530" s="217"/>
      <c r="N530" s="208"/>
      <c r="O530" s="218"/>
      <c r="P530" s="208"/>
      <c r="Q530" s="240"/>
      <c r="R530" s="239"/>
      <c r="S530" s="240"/>
      <c r="T530" s="216"/>
      <c r="U530" s="196"/>
    </row>
    <row r="531" spans="3:21" s="185" customFormat="1" ht="20.25" customHeight="1">
      <c r="C531" s="198"/>
      <c r="D531" s="203">
        <f t="shared" si="110"/>
        <v>531</v>
      </c>
      <c r="E531" s="207" t="s">
        <v>537</v>
      </c>
      <c r="F531" s="211"/>
      <c r="G531" s="206" t="s">
        <v>201</v>
      </c>
      <c r="H531" s="206"/>
      <c r="I531" s="224">
        <v>12</v>
      </c>
      <c r="J531" s="211" t="str">
        <f>J529</f>
        <v>1664 mm id</v>
      </c>
      <c r="K531" s="234">
        <v>1</v>
      </c>
      <c r="L531" s="208" t="s">
        <v>81</v>
      </c>
      <c r="M531" s="217">
        <v>1</v>
      </c>
      <c r="N531" s="208" t="s">
        <v>249</v>
      </c>
      <c r="O531" s="218">
        <v>1</v>
      </c>
      <c r="P531" s="208" t="s">
        <v>112</v>
      </c>
      <c r="Q531" s="240">
        <f t="shared" si="102"/>
        <v>1</v>
      </c>
      <c r="R531" s="239">
        <v>1</v>
      </c>
      <c r="S531" s="240">
        <f t="shared" si="105"/>
        <v>2</v>
      </c>
      <c r="T531" s="216" t="s">
        <v>48</v>
      </c>
      <c r="U531" s="196" t="str">
        <f t="shared" si="103"/>
        <v>2 Hrs</v>
      </c>
    </row>
    <row r="532" spans="3:21" s="185" customFormat="1" ht="20.25" customHeight="1">
      <c r="C532" s="198"/>
      <c r="D532" s="203">
        <f t="shared" si="110"/>
        <v>532</v>
      </c>
      <c r="E532" s="207" t="s">
        <v>538</v>
      </c>
      <c r="F532" s="211">
        <f t="shared" si="104"/>
        <v>531</v>
      </c>
      <c r="G532" s="206" t="s">
        <v>115</v>
      </c>
      <c r="H532" s="206"/>
      <c r="I532" s="224">
        <v>12</v>
      </c>
      <c r="J532" s="211" t="str">
        <f>J531</f>
        <v>1664 mm id</v>
      </c>
      <c r="K532" s="234">
        <v>1</v>
      </c>
      <c r="L532" s="208" t="s">
        <v>81</v>
      </c>
      <c r="M532" s="227">
        <f t="shared" ref="M532:M535" si="117">LEFT(J532,SEARCH(" ",J532,1)-1)*K532*3.142/1000</f>
        <v>5.2282879999999992</v>
      </c>
      <c r="N532" s="208" t="s">
        <v>249</v>
      </c>
      <c r="O532" s="246">
        <f>VLOOKUP(I532,BM!$A$2:$X$104,17,FALSE)</f>
        <v>2.5</v>
      </c>
      <c r="P532" s="208" t="s">
        <v>112</v>
      </c>
      <c r="Q532" s="240">
        <f t="shared" si="102"/>
        <v>13.070719999999998</v>
      </c>
      <c r="R532" s="239">
        <v>1</v>
      </c>
      <c r="S532" s="240">
        <f t="shared" si="105"/>
        <v>14.07</v>
      </c>
      <c r="T532" s="216" t="s">
        <v>48</v>
      </c>
      <c r="U532" s="196" t="str">
        <f t="shared" si="103"/>
        <v>14.07 Hrs</v>
      </c>
    </row>
    <row r="533" spans="3:21" s="185" customFormat="1" ht="20.25" customHeight="1">
      <c r="C533" s="198"/>
      <c r="D533" s="203">
        <f t="shared" si="110"/>
        <v>533</v>
      </c>
      <c r="E533" s="207" t="s">
        <v>539</v>
      </c>
      <c r="F533" s="211">
        <f t="shared" si="104"/>
        <v>532</v>
      </c>
      <c r="G533" s="206" t="s">
        <v>61</v>
      </c>
      <c r="H533" s="206"/>
      <c r="I533" s="224">
        <v>18</v>
      </c>
      <c r="J533" s="211" t="str">
        <f t="shared" ref="J533:J535" si="118">J531</f>
        <v>1664 mm id</v>
      </c>
      <c r="K533" s="234">
        <v>1</v>
      </c>
      <c r="L533" s="208" t="s">
        <v>81</v>
      </c>
      <c r="M533" s="227">
        <f t="shared" si="117"/>
        <v>5.2282879999999992</v>
      </c>
      <c r="N533" s="208" t="s">
        <v>249</v>
      </c>
      <c r="O533" s="246">
        <f>VLOOKUP(I533,BM!$A$2:$X$104,18,FALSE)</f>
        <v>1</v>
      </c>
      <c r="P533" s="208" t="s">
        <v>112</v>
      </c>
      <c r="Q533" s="240">
        <f t="shared" si="102"/>
        <v>5.2282879999999992</v>
      </c>
      <c r="R533" s="239">
        <v>1</v>
      </c>
      <c r="S533" s="240">
        <f t="shared" si="105"/>
        <v>6.23</v>
      </c>
      <c r="T533" s="216" t="s">
        <v>48</v>
      </c>
      <c r="U533" s="196" t="str">
        <f t="shared" si="103"/>
        <v>6.23 Hrs</v>
      </c>
    </row>
    <row r="534" spans="3:21" s="185" customFormat="1" ht="20.25" customHeight="1">
      <c r="C534" s="198"/>
      <c r="D534" s="203">
        <f t="shared" si="110"/>
        <v>534</v>
      </c>
      <c r="E534" s="207" t="s">
        <v>540</v>
      </c>
      <c r="F534" s="211">
        <f t="shared" si="104"/>
        <v>533</v>
      </c>
      <c r="G534" s="206" t="s">
        <v>115</v>
      </c>
      <c r="H534" s="206"/>
      <c r="I534" s="224">
        <v>6</v>
      </c>
      <c r="J534" s="211" t="str">
        <f t="shared" si="118"/>
        <v>1664 mm id</v>
      </c>
      <c r="K534" s="234">
        <v>1</v>
      </c>
      <c r="L534" s="208" t="s">
        <v>81</v>
      </c>
      <c r="M534" s="227">
        <f t="shared" si="117"/>
        <v>5.2282879999999992</v>
      </c>
      <c r="N534" s="208" t="s">
        <v>249</v>
      </c>
      <c r="O534" s="246">
        <f>VLOOKUP(I534,BM!$A$2:$X$104,17,FALSE)</f>
        <v>0.9</v>
      </c>
      <c r="P534" s="208" t="s">
        <v>112</v>
      </c>
      <c r="Q534" s="240">
        <f t="shared" si="102"/>
        <v>4.7054591999999991</v>
      </c>
      <c r="R534" s="239">
        <v>1</v>
      </c>
      <c r="S534" s="240">
        <f t="shared" si="105"/>
        <v>5.71</v>
      </c>
      <c r="T534" s="216" t="s">
        <v>48</v>
      </c>
      <c r="U534" s="196" t="str">
        <f t="shared" si="103"/>
        <v>5.71 Hrs</v>
      </c>
    </row>
    <row r="535" spans="3:21" s="185" customFormat="1" ht="20.25" customHeight="1">
      <c r="C535" s="198"/>
      <c r="D535" s="203">
        <f t="shared" si="110"/>
        <v>535</v>
      </c>
      <c r="E535" s="207" t="s">
        <v>541</v>
      </c>
      <c r="F535" s="211">
        <f t="shared" si="104"/>
        <v>534</v>
      </c>
      <c r="G535" s="206" t="s">
        <v>61</v>
      </c>
      <c r="H535" s="206"/>
      <c r="I535" s="224">
        <v>18</v>
      </c>
      <c r="J535" s="211" t="str">
        <f t="shared" si="118"/>
        <v>1664 mm id</v>
      </c>
      <c r="K535" s="234">
        <v>1</v>
      </c>
      <c r="L535" s="208" t="s">
        <v>81</v>
      </c>
      <c r="M535" s="227">
        <f t="shared" si="117"/>
        <v>5.2282879999999992</v>
      </c>
      <c r="N535" s="208" t="s">
        <v>249</v>
      </c>
      <c r="O535" s="246">
        <f>VLOOKUP(I535,BM!$A$2:$X$104,20,FALSE)</f>
        <v>0.5</v>
      </c>
      <c r="P535" s="208" t="s">
        <v>112</v>
      </c>
      <c r="Q535" s="240">
        <f t="shared" si="102"/>
        <v>2.6141439999999996</v>
      </c>
      <c r="R535" s="239">
        <v>1</v>
      </c>
      <c r="S535" s="240">
        <f t="shared" si="105"/>
        <v>3.61</v>
      </c>
      <c r="T535" s="216" t="s">
        <v>48</v>
      </c>
      <c r="U535" s="196" t="str">
        <f t="shared" si="103"/>
        <v>3.61 Hrs</v>
      </c>
    </row>
    <row r="536" spans="3:21" s="185" customFormat="1" ht="20.25" customHeight="1">
      <c r="C536" s="198">
        <f>D536</f>
        <v>536</v>
      </c>
      <c r="D536" s="203">
        <f t="shared" si="110"/>
        <v>536</v>
      </c>
      <c r="E536" s="209" t="s">
        <v>542</v>
      </c>
      <c r="F536" s="210">
        <f>C530</f>
        <v>530</v>
      </c>
      <c r="G536" s="206"/>
      <c r="H536" s="206"/>
      <c r="I536" s="208"/>
      <c r="J536" s="208"/>
      <c r="K536" s="234"/>
      <c r="L536" s="208"/>
      <c r="M536" s="217"/>
      <c r="N536" s="208"/>
      <c r="O536" s="218"/>
      <c r="P536" s="208"/>
      <c r="Q536" s="240">
        <f t="shared" si="102"/>
        <v>0</v>
      </c>
      <c r="R536" s="239"/>
      <c r="S536" s="240"/>
      <c r="T536" s="216"/>
      <c r="U536" s="196"/>
    </row>
    <row r="537" spans="3:21" s="185" customFormat="1" ht="20.25" customHeight="1">
      <c r="C537" s="198"/>
      <c r="D537" s="203">
        <f t="shared" si="110"/>
        <v>537</v>
      </c>
      <c r="E537" s="207" t="s">
        <v>543</v>
      </c>
      <c r="F537" s="211">
        <f t="shared" si="104"/>
        <v>536</v>
      </c>
      <c r="G537" s="206" t="s">
        <v>52</v>
      </c>
      <c r="H537" s="206"/>
      <c r="I537" s="224">
        <v>18</v>
      </c>
      <c r="J537" s="211" t="str">
        <f>J535</f>
        <v>1664 mm id</v>
      </c>
      <c r="K537" s="234">
        <v>1</v>
      </c>
      <c r="L537" s="208" t="s">
        <v>81</v>
      </c>
      <c r="M537" s="227">
        <f t="shared" ref="M537:M540" si="119">LEFT(J537,SEARCH(" ",J537,1)-1)*K537*3.142/1000</f>
        <v>5.2282879999999992</v>
      </c>
      <c r="N537" s="208" t="s">
        <v>139</v>
      </c>
      <c r="O537" s="246">
        <f>VLOOKUP(I537,BM!$A$2:$X$104,10,FALSE)</f>
        <v>1</v>
      </c>
      <c r="P537" s="208" t="s">
        <v>112</v>
      </c>
      <c r="Q537" s="240">
        <f t="shared" si="102"/>
        <v>5.2282879999999992</v>
      </c>
      <c r="R537" s="239">
        <v>1</v>
      </c>
      <c r="S537" s="240">
        <f t="shared" si="105"/>
        <v>6.23</v>
      </c>
      <c r="T537" s="216" t="s">
        <v>48</v>
      </c>
      <c r="U537" s="196" t="str">
        <f t="shared" si="103"/>
        <v>6.23 Hrs</v>
      </c>
    </row>
    <row r="538" spans="3:21" s="185" customFormat="1" ht="20.25" customHeight="1">
      <c r="C538" s="198"/>
      <c r="D538" s="203">
        <f t="shared" si="110"/>
        <v>538</v>
      </c>
      <c r="E538" s="207" t="s">
        <v>544</v>
      </c>
      <c r="F538" s="211">
        <f t="shared" si="104"/>
        <v>537</v>
      </c>
      <c r="G538" s="206" t="s">
        <v>44</v>
      </c>
      <c r="H538" s="206"/>
      <c r="I538" s="224">
        <v>18</v>
      </c>
      <c r="J538" s="211" t="str">
        <f t="shared" ref="J538:J540" si="120">J537</f>
        <v>1664 mm id</v>
      </c>
      <c r="K538" s="234">
        <v>1</v>
      </c>
      <c r="L538" s="208" t="s">
        <v>81</v>
      </c>
      <c r="M538" s="227">
        <f t="shared" si="119"/>
        <v>5.2282879999999992</v>
      </c>
      <c r="N538" s="208" t="s">
        <v>139</v>
      </c>
      <c r="O538" s="246">
        <f>VLOOKUP(I538,BM!$A$2:$X$104,16,FALSE)</f>
        <v>1</v>
      </c>
      <c r="P538" s="208" t="s">
        <v>112</v>
      </c>
      <c r="Q538" s="240">
        <f t="shared" si="102"/>
        <v>5.2282879999999992</v>
      </c>
      <c r="R538" s="239">
        <v>1</v>
      </c>
      <c r="S538" s="240">
        <f t="shared" si="105"/>
        <v>6.23</v>
      </c>
      <c r="T538" s="216" t="s">
        <v>48</v>
      </c>
      <c r="U538" s="196" t="str">
        <f t="shared" si="103"/>
        <v>6.23 Hrs</v>
      </c>
    </row>
    <row r="539" spans="3:21" s="185" customFormat="1" ht="20.25" customHeight="1">
      <c r="C539" s="198"/>
      <c r="D539" s="203">
        <f t="shared" si="110"/>
        <v>539</v>
      </c>
      <c r="E539" s="207" t="s">
        <v>545</v>
      </c>
      <c r="F539" s="211">
        <f t="shared" si="104"/>
        <v>538</v>
      </c>
      <c r="G539" s="206" t="s">
        <v>111</v>
      </c>
      <c r="H539" s="206"/>
      <c r="I539" s="224">
        <v>18</v>
      </c>
      <c r="J539" s="211" t="str">
        <f t="shared" si="120"/>
        <v>1664 mm id</v>
      </c>
      <c r="K539" s="234">
        <v>1</v>
      </c>
      <c r="L539" s="208" t="s">
        <v>81</v>
      </c>
      <c r="M539" s="227">
        <f t="shared" si="119"/>
        <v>5.2282879999999992</v>
      </c>
      <c r="N539" s="208" t="s">
        <v>139</v>
      </c>
      <c r="O539" s="218">
        <v>4</v>
      </c>
      <c r="P539" s="208" t="s">
        <v>112</v>
      </c>
      <c r="Q539" s="240">
        <f t="shared" si="102"/>
        <v>20.913151999999997</v>
      </c>
      <c r="R539" s="239">
        <v>1</v>
      </c>
      <c r="S539" s="240">
        <f t="shared" si="105"/>
        <v>21.91</v>
      </c>
      <c r="T539" s="216" t="s">
        <v>48</v>
      </c>
      <c r="U539" s="196" t="str">
        <f t="shared" si="103"/>
        <v>21.91 Hrs</v>
      </c>
    </row>
    <row r="540" spans="3:21" s="185" customFormat="1" ht="20.25" customHeight="1">
      <c r="C540" s="198"/>
      <c r="D540" s="203">
        <f t="shared" si="110"/>
        <v>540</v>
      </c>
      <c r="E540" s="207" t="s">
        <v>546</v>
      </c>
      <c r="F540" s="211">
        <f t="shared" si="104"/>
        <v>539</v>
      </c>
      <c r="G540" s="206" t="s">
        <v>63</v>
      </c>
      <c r="H540" s="206"/>
      <c r="I540" s="224">
        <v>18</v>
      </c>
      <c r="J540" s="211" t="str">
        <f t="shared" si="120"/>
        <v>1664 mm id</v>
      </c>
      <c r="K540" s="234">
        <v>1</v>
      </c>
      <c r="L540" s="208" t="s">
        <v>81</v>
      </c>
      <c r="M540" s="227">
        <f t="shared" si="119"/>
        <v>5.2282879999999992</v>
      </c>
      <c r="N540" s="208" t="s">
        <v>39</v>
      </c>
      <c r="O540" s="218">
        <v>3.5</v>
      </c>
      <c r="P540" s="208" t="s">
        <v>112</v>
      </c>
      <c r="Q540" s="240">
        <f t="shared" ref="Q540:Q602" si="121">M540*O540</f>
        <v>18.299007999999997</v>
      </c>
      <c r="R540" s="239">
        <v>1</v>
      </c>
      <c r="S540" s="240">
        <f t="shared" si="105"/>
        <v>19.3</v>
      </c>
      <c r="T540" s="216" t="s">
        <v>48</v>
      </c>
      <c r="U540" s="196" t="str">
        <f t="shared" ref="U540:U602" si="122">CONCATENATE(S540," ",T540)</f>
        <v>19.3 Hrs</v>
      </c>
    </row>
    <row r="541" spans="3:21" s="185" customFormat="1" ht="20.25" customHeight="1">
      <c r="C541" s="198">
        <f>D541</f>
        <v>541</v>
      </c>
      <c r="D541" s="203">
        <f t="shared" si="110"/>
        <v>541</v>
      </c>
      <c r="E541" s="209" t="s">
        <v>547</v>
      </c>
      <c r="F541" s="210">
        <f>C536</f>
        <v>536</v>
      </c>
      <c r="G541" s="206"/>
      <c r="H541" s="206"/>
      <c r="I541" s="208"/>
      <c r="J541" s="208"/>
      <c r="K541" s="234"/>
      <c r="L541" s="208"/>
      <c r="M541" s="217"/>
      <c r="N541" s="208"/>
      <c r="O541" s="218"/>
      <c r="P541" s="208"/>
      <c r="Q541" s="240"/>
      <c r="R541" s="239"/>
      <c r="S541" s="240"/>
      <c r="T541" s="216"/>
      <c r="U541" s="196"/>
    </row>
    <row r="542" spans="3:21" s="185" customFormat="1" ht="20.25" customHeight="1">
      <c r="C542" s="198"/>
      <c r="D542" s="203">
        <f t="shared" si="110"/>
        <v>542</v>
      </c>
      <c r="E542" s="207" t="s">
        <v>548</v>
      </c>
      <c r="F542" s="211"/>
      <c r="G542" s="206" t="s">
        <v>201</v>
      </c>
      <c r="H542" s="206"/>
      <c r="I542" s="224">
        <v>12</v>
      </c>
      <c r="J542" s="211" t="str">
        <f>J540</f>
        <v>1664 mm id</v>
      </c>
      <c r="K542" s="234">
        <v>1</v>
      </c>
      <c r="L542" s="208" t="s">
        <v>81</v>
      </c>
      <c r="M542" s="217">
        <v>1</v>
      </c>
      <c r="N542" s="208" t="s">
        <v>249</v>
      </c>
      <c r="O542" s="218">
        <v>1</v>
      </c>
      <c r="P542" s="208" t="s">
        <v>112</v>
      </c>
      <c r="Q542" s="240">
        <f t="shared" si="121"/>
        <v>1</v>
      </c>
      <c r="R542" s="239">
        <v>1</v>
      </c>
      <c r="S542" s="240">
        <f t="shared" ref="S542:S602" si="123">ROUND(Q542+R542,2)</f>
        <v>2</v>
      </c>
      <c r="T542" s="216" t="s">
        <v>48</v>
      </c>
      <c r="U542" s="196" t="str">
        <f t="shared" si="122"/>
        <v>2 Hrs</v>
      </c>
    </row>
    <row r="543" spans="3:21" s="185" customFormat="1" ht="20.25" customHeight="1">
      <c r="C543" s="198"/>
      <c r="D543" s="203">
        <f t="shared" si="110"/>
        <v>543</v>
      </c>
      <c r="E543" s="207" t="s">
        <v>549</v>
      </c>
      <c r="F543" s="211">
        <f t="shared" ref="F543:F602" si="124">D542</f>
        <v>542</v>
      </c>
      <c r="G543" s="206" t="s">
        <v>115</v>
      </c>
      <c r="H543" s="206"/>
      <c r="I543" s="224">
        <v>12</v>
      </c>
      <c r="J543" s="211" t="str">
        <f t="shared" ref="J543:J546" si="125">J542</f>
        <v>1664 mm id</v>
      </c>
      <c r="K543" s="234">
        <v>1</v>
      </c>
      <c r="L543" s="208" t="s">
        <v>81</v>
      </c>
      <c r="M543" s="227">
        <f t="shared" ref="M543:M546" si="126">LEFT(J543,SEARCH(" ",J543,1)-1)*K543*3.142/1000</f>
        <v>5.2282879999999992</v>
      </c>
      <c r="N543" s="208" t="s">
        <v>249</v>
      </c>
      <c r="O543" s="246">
        <f>VLOOKUP(I543,BM!$A$2:$X$104,17,FALSE)</f>
        <v>2.5</v>
      </c>
      <c r="P543" s="208" t="s">
        <v>112</v>
      </c>
      <c r="Q543" s="240">
        <f t="shared" si="121"/>
        <v>13.070719999999998</v>
      </c>
      <c r="R543" s="239">
        <v>1</v>
      </c>
      <c r="S543" s="240">
        <f t="shared" si="123"/>
        <v>14.07</v>
      </c>
      <c r="T543" s="216" t="s">
        <v>48</v>
      </c>
      <c r="U543" s="196" t="str">
        <f t="shared" si="122"/>
        <v>14.07 Hrs</v>
      </c>
    </row>
    <row r="544" spans="3:21" s="185" customFormat="1" ht="20.25" customHeight="1">
      <c r="C544" s="198"/>
      <c r="D544" s="203">
        <f t="shared" si="110"/>
        <v>544</v>
      </c>
      <c r="E544" s="207" t="s">
        <v>550</v>
      </c>
      <c r="F544" s="211">
        <f t="shared" si="124"/>
        <v>543</v>
      </c>
      <c r="G544" s="206" t="s">
        <v>61</v>
      </c>
      <c r="H544" s="206"/>
      <c r="I544" s="224">
        <v>18</v>
      </c>
      <c r="J544" s="211" t="str">
        <f t="shared" si="125"/>
        <v>1664 mm id</v>
      </c>
      <c r="K544" s="234">
        <v>1</v>
      </c>
      <c r="L544" s="208" t="s">
        <v>81</v>
      </c>
      <c r="M544" s="227">
        <f t="shared" si="126"/>
        <v>5.2282879999999992</v>
      </c>
      <c r="N544" s="208" t="s">
        <v>249</v>
      </c>
      <c r="O544" s="246">
        <f>VLOOKUP(I544,BM!$A$2:$X$104,18,FALSE)</f>
        <v>1</v>
      </c>
      <c r="P544" s="208" t="s">
        <v>112</v>
      </c>
      <c r="Q544" s="240">
        <f t="shared" si="121"/>
        <v>5.2282879999999992</v>
      </c>
      <c r="R544" s="239">
        <v>1</v>
      </c>
      <c r="S544" s="240">
        <f t="shared" si="123"/>
        <v>6.23</v>
      </c>
      <c r="T544" s="216" t="s">
        <v>48</v>
      </c>
      <c r="U544" s="196" t="str">
        <f t="shared" si="122"/>
        <v>6.23 Hrs</v>
      </c>
    </row>
    <row r="545" spans="3:21" s="185" customFormat="1" ht="20.25" customHeight="1">
      <c r="C545" s="198"/>
      <c r="D545" s="203">
        <f t="shared" si="110"/>
        <v>545</v>
      </c>
      <c r="E545" s="207" t="s">
        <v>551</v>
      </c>
      <c r="F545" s="211">
        <f t="shared" si="124"/>
        <v>544</v>
      </c>
      <c r="G545" s="206" t="s">
        <v>115</v>
      </c>
      <c r="H545" s="206"/>
      <c r="I545" s="224">
        <v>6</v>
      </c>
      <c r="J545" s="211" t="str">
        <f t="shared" si="125"/>
        <v>1664 mm id</v>
      </c>
      <c r="K545" s="234">
        <v>1</v>
      </c>
      <c r="L545" s="208" t="s">
        <v>81</v>
      </c>
      <c r="M545" s="227">
        <f t="shared" si="126"/>
        <v>5.2282879999999992</v>
      </c>
      <c r="N545" s="208" t="s">
        <v>249</v>
      </c>
      <c r="O545" s="246">
        <f>VLOOKUP(I545,BM!$A$2:$X$104,17,FALSE)</f>
        <v>0.9</v>
      </c>
      <c r="P545" s="208" t="s">
        <v>112</v>
      </c>
      <c r="Q545" s="240">
        <f t="shared" si="121"/>
        <v>4.7054591999999991</v>
      </c>
      <c r="R545" s="239">
        <v>1</v>
      </c>
      <c r="S545" s="240">
        <f t="shared" si="123"/>
        <v>5.71</v>
      </c>
      <c r="T545" s="216" t="s">
        <v>48</v>
      </c>
      <c r="U545" s="196" t="str">
        <f t="shared" si="122"/>
        <v>5.71 Hrs</v>
      </c>
    </row>
    <row r="546" spans="3:21" s="185" customFormat="1" ht="20.25" customHeight="1">
      <c r="C546" s="198"/>
      <c r="D546" s="203">
        <f t="shared" si="110"/>
        <v>546</v>
      </c>
      <c r="E546" s="207" t="s">
        <v>552</v>
      </c>
      <c r="F546" s="211">
        <f t="shared" si="124"/>
        <v>545</v>
      </c>
      <c r="G546" s="206" t="s">
        <v>61</v>
      </c>
      <c r="H546" s="206"/>
      <c r="I546" s="224">
        <v>18</v>
      </c>
      <c r="J546" s="211" t="str">
        <f t="shared" si="125"/>
        <v>1664 mm id</v>
      </c>
      <c r="K546" s="234">
        <v>1</v>
      </c>
      <c r="L546" s="208" t="s">
        <v>81</v>
      </c>
      <c r="M546" s="227">
        <f t="shared" si="126"/>
        <v>5.2282879999999992</v>
      </c>
      <c r="N546" s="208" t="s">
        <v>249</v>
      </c>
      <c r="O546" s="246">
        <f>VLOOKUP(I546,BM!$A$2:$X$104,20,FALSE)</f>
        <v>0.5</v>
      </c>
      <c r="P546" s="208" t="s">
        <v>112</v>
      </c>
      <c r="Q546" s="240">
        <f t="shared" si="121"/>
        <v>2.6141439999999996</v>
      </c>
      <c r="R546" s="239">
        <v>1</v>
      </c>
      <c r="S546" s="240">
        <f t="shared" si="123"/>
        <v>3.61</v>
      </c>
      <c r="T546" s="216" t="s">
        <v>48</v>
      </c>
      <c r="U546" s="196" t="str">
        <f t="shared" si="122"/>
        <v>3.61 Hrs</v>
      </c>
    </row>
    <row r="547" spans="3:21" s="185" customFormat="1" ht="20.25" customHeight="1">
      <c r="C547" s="198">
        <f>D547</f>
        <v>547</v>
      </c>
      <c r="D547" s="203">
        <f t="shared" si="110"/>
        <v>547</v>
      </c>
      <c r="E547" s="209" t="s">
        <v>553</v>
      </c>
      <c r="F547" s="210">
        <f>C541</f>
        <v>541</v>
      </c>
      <c r="G547" s="206"/>
      <c r="H547" s="206"/>
      <c r="I547" s="208"/>
      <c r="J547" s="208"/>
      <c r="K547" s="234"/>
      <c r="L547" s="208"/>
      <c r="M547" s="217"/>
      <c r="N547" s="208"/>
      <c r="O547" s="218"/>
      <c r="P547" s="208"/>
      <c r="Q547" s="240"/>
      <c r="R547" s="239"/>
      <c r="S547" s="240"/>
      <c r="T547" s="216"/>
      <c r="U547" s="196"/>
    </row>
    <row r="548" spans="3:21" s="185" customFormat="1" ht="20.25" customHeight="1">
      <c r="C548" s="198"/>
      <c r="D548" s="203">
        <f t="shared" si="110"/>
        <v>548</v>
      </c>
      <c r="E548" s="207" t="s">
        <v>554</v>
      </c>
      <c r="F548" s="211"/>
      <c r="G548" s="206" t="s">
        <v>312</v>
      </c>
      <c r="H548" s="206"/>
      <c r="I548" s="233">
        <f>I546</f>
        <v>18</v>
      </c>
      <c r="J548" s="211" t="str">
        <f t="shared" ref="J548:L548" si="127">J546</f>
        <v>1664 mm id</v>
      </c>
      <c r="K548" s="225">
        <f t="shared" si="127"/>
        <v>1</v>
      </c>
      <c r="L548" s="211" t="str">
        <f t="shared" si="127"/>
        <v>Nos</v>
      </c>
      <c r="M548" s="208">
        <v>1</v>
      </c>
      <c r="N548" s="208" t="s">
        <v>39</v>
      </c>
      <c r="O548" s="218">
        <v>1</v>
      </c>
      <c r="P548" s="208" t="s">
        <v>41</v>
      </c>
      <c r="Q548" s="240">
        <f t="shared" si="121"/>
        <v>1</v>
      </c>
      <c r="R548" s="211"/>
      <c r="S548" s="240">
        <f t="shared" si="123"/>
        <v>1</v>
      </c>
      <c r="T548" s="216" t="s">
        <v>42</v>
      </c>
      <c r="U548" s="196" t="str">
        <f t="shared" si="122"/>
        <v>1 Days</v>
      </c>
    </row>
    <row r="549" spans="3:21" s="185" customFormat="1" ht="20.25" customHeight="1">
      <c r="C549" s="198">
        <f>D549</f>
        <v>549</v>
      </c>
      <c r="D549" s="203">
        <f t="shared" si="110"/>
        <v>549</v>
      </c>
      <c r="E549" s="209" t="s">
        <v>555</v>
      </c>
      <c r="F549" s="210">
        <f>D547</f>
        <v>547</v>
      </c>
      <c r="G549" s="206"/>
      <c r="H549" s="206"/>
      <c r="I549" s="208"/>
      <c r="J549" s="208"/>
      <c r="K549" s="234"/>
      <c r="L549" s="208"/>
      <c r="M549" s="217"/>
      <c r="N549" s="208"/>
      <c r="O549" s="218"/>
      <c r="P549" s="208"/>
      <c r="Q549" s="240"/>
      <c r="R549" s="239"/>
      <c r="S549" s="240"/>
      <c r="T549" s="216"/>
      <c r="U549" s="196"/>
    </row>
    <row r="550" spans="3:21" s="185" customFormat="1" ht="20.25" customHeight="1">
      <c r="C550" s="198"/>
      <c r="D550" s="203">
        <f t="shared" si="110"/>
        <v>550</v>
      </c>
      <c r="E550" s="207" t="s">
        <v>556</v>
      </c>
      <c r="F550" s="211"/>
      <c r="G550" s="206" t="s">
        <v>44</v>
      </c>
      <c r="H550" s="206"/>
      <c r="I550" s="224">
        <v>20</v>
      </c>
      <c r="J550" s="211" t="str">
        <f>J548</f>
        <v>1664 mm id</v>
      </c>
      <c r="K550" s="234">
        <v>1</v>
      </c>
      <c r="L550" s="208" t="s">
        <v>81</v>
      </c>
      <c r="M550" s="217">
        <v>1</v>
      </c>
      <c r="N550" s="208" t="s">
        <v>81</v>
      </c>
      <c r="O550" s="218">
        <v>3</v>
      </c>
      <c r="P550" s="208" t="s">
        <v>112</v>
      </c>
      <c r="Q550" s="240">
        <f t="shared" si="121"/>
        <v>3</v>
      </c>
      <c r="R550" s="239">
        <v>1</v>
      </c>
      <c r="S550" s="240">
        <f t="shared" si="123"/>
        <v>4</v>
      </c>
      <c r="T550" s="216" t="s">
        <v>48</v>
      </c>
      <c r="U550" s="196" t="str">
        <f t="shared" si="122"/>
        <v>4 Hrs</v>
      </c>
    </row>
    <row r="551" spans="3:21" s="185" customFormat="1" ht="20.25" customHeight="1">
      <c r="C551" s="198"/>
      <c r="D551" s="203">
        <f t="shared" si="110"/>
        <v>551</v>
      </c>
      <c r="E551" s="207" t="s">
        <v>557</v>
      </c>
      <c r="F551" s="211">
        <f t="shared" si="124"/>
        <v>550</v>
      </c>
      <c r="G551" s="206" t="s">
        <v>44</v>
      </c>
      <c r="H551" s="206"/>
      <c r="I551" s="224">
        <v>20</v>
      </c>
      <c r="J551" s="211" t="str">
        <f>J550</f>
        <v>1664 mm id</v>
      </c>
      <c r="K551" s="234">
        <v>1</v>
      </c>
      <c r="L551" s="208" t="s">
        <v>81</v>
      </c>
      <c r="M551" s="217">
        <v>1</v>
      </c>
      <c r="N551" s="208" t="s">
        <v>81</v>
      </c>
      <c r="O551" s="218">
        <v>1</v>
      </c>
      <c r="P551" s="208" t="s">
        <v>112</v>
      </c>
      <c r="Q551" s="240">
        <f t="shared" si="121"/>
        <v>1</v>
      </c>
      <c r="R551" s="239">
        <v>1</v>
      </c>
      <c r="S551" s="240">
        <f t="shared" si="123"/>
        <v>2</v>
      </c>
      <c r="T551" s="216" t="s">
        <v>48</v>
      </c>
      <c r="U551" s="196" t="str">
        <f t="shared" si="122"/>
        <v>2 Hrs</v>
      </c>
    </row>
    <row r="552" spans="3:21" s="185" customFormat="1" ht="20.25" customHeight="1">
      <c r="C552" s="198">
        <f>D552</f>
        <v>552</v>
      </c>
      <c r="D552" s="203">
        <f t="shared" si="110"/>
        <v>552</v>
      </c>
      <c r="E552" s="209" t="s">
        <v>558</v>
      </c>
      <c r="F552" s="210">
        <f>D549</f>
        <v>549</v>
      </c>
      <c r="G552" s="206"/>
      <c r="H552" s="206"/>
      <c r="I552" s="208"/>
      <c r="J552" s="208"/>
      <c r="K552" s="234"/>
      <c r="L552" s="208"/>
      <c r="M552" s="217"/>
      <c r="N552" s="208"/>
      <c r="O552" s="218"/>
      <c r="P552" s="208"/>
      <c r="Q552" s="240"/>
      <c r="R552" s="239"/>
      <c r="S552" s="240"/>
      <c r="T552" s="216"/>
      <c r="U552" s="196"/>
    </row>
    <row r="553" spans="3:21" s="185" customFormat="1" ht="20.25" customHeight="1">
      <c r="C553" s="198"/>
      <c r="D553" s="203">
        <f t="shared" si="110"/>
        <v>553</v>
      </c>
      <c r="E553" s="207" t="s">
        <v>559</v>
      </c>
      <c r="F553" s="211"/>
      <c r="G553" s="206" t="s">
        <v>52</v>
      </c>
      <c r="H553" s="206"/>
      <c r="I553" s="208"/>
      <c r="J553" s="234" t="s">
        <v>560</v>
      </c>
      <c r="K553" s="234">
        <v>1</v>
      </c>
      <c r="L553" s="208" t="s">
        <v>39</v>
      </c>
      <c r="M553" s="217">
        <v>1</v>
      </c>
      <c r="N553" s="208" t="s">
        <v>81</v>
      </c>
      <c r="O553" s="218">
        <v>3</v>
      </c>
      <c r="P553" s="208" t="s">
        <v>112</v>
      </c>
      <c r="Q553" s="240">
        <f t="shared" si="121"/>
        <v>3</v>
      </c>
      <c r="R553" s="239">
        <v>1</v>
      </c>
      <c r="S553" s="240">
        <f t="shared" si="123"/>
        <v>4</v>
      </c>
      <c r="T553" s="216" t="s">
        <v>48</v>
      </c>
      <c r="U553" s="196" t="str">
        <f t="shared" si="122"/>
        <v>4 Hrs</v>
      </c>
    </row>
    <row r="554" spans="3:21" s="185" customFormat="1" ht="20.25" customHeight="1">
      <c r="C554" s="198"/>
      <c r="D554" s="203">
        <f t="shared" si="110"/>
        <v>554</v>
      </c>
      <c r="E554" s="207" t="s">
        <v>559</v>
      </c>
      <c r="F554" s="211">
        <f t="shared" si="124"/>
        <v>553</v>
      </c>
      <c r="G554" s="206" t="s">
        <v>52</v>
      </c>
      <c r="H554" s="206"/>
      <c r="I554" s="208"/>
      <c r="J554" s="234" t="s">
        <v>560</v>
      </c>
      <c r="K554" s="234">
        <v>1</v>
      </c>
      <c r="L554" s="208" t="s">
        <v>39</v>
      </c>
      <c r="M554" s="217">
        <v>1</v>
      </c>
      <c r="N554" s="208" t="s">
        <v>81</v>
      </c>
      <c r="O554" s="218">
        <v>3</v>
      </c>
      <c r="P554" s="208" t="s">
        <v>112</v>
      </c>
      <c r="Q554" s="240">
        <f t="shared" si="121"/>
        <v>3</v>
      </c>
      <c r="R554" s="239">
        <v>1</v>
      </c>
      <c r="S554" s="240">
        <f t="shared" si="123"/>
        <v>4</v>
      </c>
      <c r="T554" s="216" t="s">
        <v>48</v>
      </c>
      <c r="U554" s="196" t="str">
        <f t="shared" si="122"/>
        <v>4 Hrs</v>
      </c>
    </row>
    <row r="555" spans="3:21" s="185" customFormat="1" ht="20.25" customHeight="1">
      <c r="C555" s="198">
        <f>D555</f>
        <v>555</v>
      </c>
      <c r="D555" s="203">
        <f t="shared" si="110"/>
        <v>555</v>
      </c>
      <c r="E555" s="209" t="s">
        <v>561</v>
      </c>
      <c r="F555" s="210">
        <f>D552</f>
        <v>552</v>
      </c>
      <c r="G555" s="206"/>
      <c r="H555" s="206"/>
      <c r="I555" s="208"/>
      <c r="J555" s="208"/>
      <c r="K555" s="234"/>
      <c r="L555" s="208"/>
      <c r="M555" s="217"/>
      <c r="N555" s="208"/>
      <c r="O555" s="218"/>
      <c r="P555" s="208"/>
      <c r="Q555" s="240"/>
      <c r="R555" s="239"/>
      <c r="S555" s="240"/>
      <c r="T555" s="216"/>
      <c r="U555" s="196"/>
    </row>
    <row r="556" spans="3:21" s="185" customFormat="1" ht="20.25" customHeight="1">
      <c r="C556" s="198"/>
      <c r="D556" s="203">
        <f t="shared" si="110"/>
        <v>556</v>
      </c>
      <c r="E556" s="207" t="s">
        <v>559</v>
      </c>
      <c r="F556" s="211"/>
      <c r="G556" s="206" t="s">
        <v>121</v>
      </c>
      <c r="H556" s="206"/>
      <c r="I556" s="208"/>
      <c r="J556" s="234" t="s">
        <v>560</v>
      </c>
      <c r="K556" s="234">
        <v>1</v>
      </c>
      <c r="L556" s="208" t="s">
        <v>39</v>
      </c>
      <c r="M556" s="217">
        <v>1</v>
      </c>
      <c r="N556" s="208" t="s">
        <v>81</v>
      </c>
      <c r="O556" s="218">
        <v>2</v>
      </c>
      <c r="P556" s="208" t="s">
        <v>112</v>
      </c>
      <c r="Q556" s="240">
        <f t="shared" si="121"/>
        <v>2</v>
      </c>
      <c r="R556" s="239">
        <v>1</v>
      </c>
      <c r="S556" s="240">
        <f t="shared" si="123"/>
        <v>3</v>
      </c>
      <c r="T556" s="216" t="s">
        <v>48</v>
      </c>
      <c r="U556" s="196" t="str">
        <f t="shared" si="122"/>
        <v>3 Hrs</v>
      </c>
    </row>
    <row r="557" spans="3:21" s="185" customFormat="1" ht="20.25" customHeight="1">
      <c r="C557" s="198"/>
      <c r="D557" s="203">
        <f t="shared" si="110"/>
        <v>557</v>
      </c>
      <c r="E557" s="207" t="s">
        <v>559</v>
      </c>
      <c r="F557" s="211">
        <f t="shared" si="124"/>
        <v>556</v>
      </c>
      <c r="G557" s="206" t="s">
        <v>121</v>
      </c>
      <c r="H557" s="206"/>
      <c r="I557" s="208"/>
      <c r="J557" s="234" t="s">
        <v>560</v>
      </c>
      <c r="K557" s="234">
        <v>1</v>
      </c>
      <c r="L557" s="208" t="s">
        <v>39</v>
      </c>
      <c r="M557" s="217">
        <v>1</v>
      </c>
      <c r="N557" s="208" t="s">
        <v>81</v>
      </c>
      <c r="O557" s="218">
        <v>2</v>
      </c>
      <c r="P557" s="208" t="s">
        <v>112</v>
      </c>
      <c r="Q557" s="240">
        <f t="shared" si="121"/>
        <v>2</v>
      </c>
      <c r="R557" s="239">
        <v>1</v>
      </c>
      <c r="S557" s="240">
        <f t="shared" si="123"/>
        <v>3</v>
      </c>
      <c r="T557" s="216" t="s">
        <v>48</v>
      </c>
      <c r="U557" s="196" t="str">
        <f t="shared" si="122"/>
        <v>3 Hrs</v>
      </c>
    </row>
    <row r="558" spans="3:21" s="185" customFormat="1" ht="20.25" customHeight="1">
      <c r="C558" s="198">
        <f>D558</f>
        <v>558</v>
      </c>
      <c r="D558" s="203">
        <f t="shared" si="110"/>
        <v>558</v>
      </c>
      <c r="E558" s="209" t="s">
        <v>562</v>
      </c>
      <c r="F558" s="210">
        <f>D555</f>
        <v>555</v>
      </c>
      <c r="G558" s="206"/>
      <c r="H558" s="206"/>
      <c r="I558" s="208"/>
      <c r="J558" s="208"/>
      <c r="K558" s="234"/>
      <c r="L558" s="208"/>
      <c r="M558" s="217"/>
      <c r="N558" s="208"/>
      <c r="O558" s="218"/>
      <c r="P558" s="208"/>
      <c r="Q558" s="240"/>
      <c r="R558" s="239"/>
      <c r="S558" s="240"/>
      <c r="T558" s="216"/>
      <c r="U558" s="196"/>
    </row>
    <row r="559" spans="3:21" s="185" customFormat="1" ht="20.25" customHeight="1">
      <c r="C559" s="198"/>
      <c r="D559" s="203">
        <f t="shared" si="110"/>
        <v>559</v>
      </c>
      <c r="E559" s="207" t="s">
        <v>563</v>
      </c>
      <c r="F559" s="211"/>
      <c r="G559" s="206" t="s">
        <v>111</v>
      </c>
      <c r="H559" s="206"/>
      <c r="I559" s="208"/>
      <c r="J559" s="234" t="s">
        <v>560</v>
      </c>
      <c r="K559" s="234">
        <v>1</v>
      </c>
      <c r="L559" s="208" t="s">
        <v>564</v>
      </c>
      <c r="M559" s="217">
        <v>1</v>
      </c>
      <c r="N559" s="208" t="s">
        <v>81</v>
      </c>
      <c r="O559" s="246">
        <f>VLOOKUP(J559,BM!$A$2:$X$104,11,FALSE)</f>
        <v>1</v>
      </c>
      <c r="P559" s="208" t="s">
        <v>112</v>
      </c>
      <c r="Q559" s="240">
        <f t="shared" si="121"/>
        <v>1</v>
      </c>
      <c r="R559" s="239">
        <v>1</v>
      </c>
      <c r="S559" s="240">
        <f t="shared" si="123"/>
        <v>2</v>
      </c>
      <c r="T559" s="216" t="s">
        <v>48</v>
      </c>
      <c r="U559" s="196" t="str">
        <f t="shared" si="122"/>
        <v>2 Hrs</v>
      </c>
    </row>
    <row r="560" spans="3:21" s="185" customFormat="1" ht="20.25" customHeight="1">
      <c r="C560" s="198"/>
      <c r="D560" s="203">
        <f t="shared" si="110"/>
        <v>560</v>
      </c>
      <c r="E560" s="207" t="s">
        <v>565</v>
      </c>
      <c r="F560" s="211">
        <f t="shared" si="124"/>
        <v>559</v>
      </c>
      <c r="G560" s="206" t="s">
        <v>111</v>
      </c>
      <c r="H560" s="206"/>
      <c r="I560" s="208"/>
      <c r="J560" s="225" t="str">
        <f>J559</f>
        <v>40NB</v>
      </c>
      <c r="K560" s="234">
        <v>1</v>
      </c>
      <c r="L560" s="208" t="s">
        <v>564</v>
      </c>
      <c r="M560" s="217">
        <v>1</v>
      </c>
      <c r="N560" s="208" t="s">
        <v>81</v>
      </c>
      <c r="O560" s="246">
        <f>VLOOKUP(J560,BM!$A$2:$X$104,11,FALSE)</f>
        <v>1</v>
      </c>
      <c r="P560" s="208" t="s">
        <v>112</v>
      </c>
      <c r="Q560" s="240">
        <f t="shared" si="121"/>
        <v>1</v>
      </c>
      <c r="R560" s="239">
        <v>1</v>
      </c>
      <c r="S560" s="240">
        <f t="shared" si="123"/>
        <v>2</v>
      </c>
      <c r="T560" s="216" t="s">
        <v>48</v>
      </c>
      <c r="U560" s="196" t="str">
        <f t="shared" si="122"/>
        <v>2 Hrs</v>
      </c>
    </row>
    <row r="561" spans="3:21" s="185" customFormat="1" ht="20.25" customHeight="1">
      <c r="C561" s="198">
        <f>D561</f>
        <v>561</v>
      </c>
      <c r="D561" s="203">
        <f t="shared" si="110"/>
        <v>561</v>
      </c>
      <c r="E561" s="209" t="s">
        <v>566</v>
      </c>
      <c r="F561" s="210">
        <f>D558</f>
        <v>558</v>
      </c>
      <c r="G561" s="206"/>
      <c r="H561" s="206"/>
      <c r="I561" s="208"/>
      <c r="J561" s="208"/>
      <c r="K561" s="234"/>
      <c r="L561" s="208"/>
      <c r="M561" s="217"/>
      <c r="N561" s="208"/>
      <c r="O561" s="218"/>
      <c r="P561" s="208"/>
      <c r="Q561" s="240"/>
      <c r="R561" s="239"/>
      <c r="S561" s="240"/>
      <c r="T561" s="216"/>
      <c r="U561" s="196"/>
    </row>
    <row r="562" spans="3:21" s="185" customFormat="1" ht="20.25" customHeight="1">
      <c r="C562" s="198"/>
      <c r="D562" s="203">
        <f t="shared" si="110"/>
        <v>562</v>
      </c>
      <c r="E562" s="207" t="s">
        <v>567</v>
      </c>
      <c r="F562" s="211"/>
      <c r="G562" s="206" t="s">
        <v>568</v>
      </c>
      <c r="H562" s="206"/>
      <c r="I562" s="208"/>
      <c r="J562" s="225" t="str">
        <f>J560</f>
        <v>40NB</v>
      </c>
      <c r="K562" s="234">
        <v>1</v>
      </c>
      <c r="L562" s="208" t="s">
        <v>564</v>
      </c>
      <c r="M562" s="217">
        <v>1</v>
      </c>
      <c r="N562" s="208" t="s">
        <v>81</v>
      </c>
      <c r="O562" s="218">
        <v>0.5</v>
      </c>
      <c r="P562" s="208" t="s">
        <v>112</v>
      </c>
      <c r="Q562" s="240">
        <f t="shared" si="121"/>
        <v>0.5</v>
      </c>
      <c r="R562" s="239">
        <v>1</v>
      </c>
      <c r="S562" s="240">
        <f t="shared" si="123"/>
        <v>1.5</v>
      </c>
      <c r="T562" s="216" t="s">
        <v>48</v>
      </c>
      <c r="U562" s="196" t="str">
        <f t="shared" si="122"/>
        <v>1.5 Hrs</v>
      </c>
    </row>
    <row r="563" spans="3:21" s="185" customFormat="1" ht="20.25" customHeight="1">
      <c r="C563" s="198"/>
      <c r="D563" s="203">
        <f t="shared" si="110"/>
        <v>563</v>
      </c>
      <c r="E563" s="207" t="s">
        <v>569</v>
      </c>
      <c r="F563" s="211">
        <f t="shared" si="124"/>
        <v>562</v>
      </c>
      <c r="G563" s="206" t="s">
        <v>568</v>
      </c>
      <c r="H563" s="206"/>
      <c r="I563" s="208"/>
      <c r="J563" s="225" t="str">
        <f>J560</f>
        <v>40NB</v>
      </c>
      <c r="K563" s="234">
        <v>1</v>
      </c>
      <c r="L563" s="208" t="s">
        <v>564</v>
      </c>
      <c r="M563" s="217">
        <v>1</v>
      </c>
      <c r="N563" s="208" t="s">
        <v>81</v>
      </c>
      <c r="O563" s="218">
        <v>0.5</v>
      </c>
      <c r="P563" s="208" t="s">
        <v>112</v>
      </c>
      <c r="Q563" s="240">
        <f t="shared" si="121"/>
        <v>0.5</v>
      </c>
      <c r="R563" s="239">
        <v>1</v>
      </c>
      <c r="S563" s="240">
        <f t="shared" si="123"/>
        <v>1.5</v>
      </c>
      <c r="T563" s="216" t="s">
        <v>48</v>
      </c>
      <c r="U563" s="196" t="str">
        <f t="shared" si="122"/>
        <v>1.5 Hrs</v>
      </c>
    </row>
    <row r="564" spans="3:21" s="185" customFormat="1" ht="20.25" customHeight="1">
      <c r="C564" s="198">
        <f>D564</f>
        <v>564</v>
      </c>
      <c r="D564" s="203">
        <f t="shared" si="110"/>
        <v>564</v>
      </c>
      <c r="E564" s="209" t="s">
        <v>570</v>
      </c>
      <c r="F564" s="210">
        <f>D561</f>
        <v>561</v>
      </c>
      <c r="G564" s="206"/>
      <c r="H564" s="206"/>
      <c r="I564" s="208"/>
      <c r="J564" s="208"/>
      <c r="K564" s="234"/>
      <c r="L564" s="208"/>
      <c r="M564" s="217"/>
      <c r="N564" s="208"/>
      <c r="O564" s="218"/>
      <c r="P564" s="208"/>
      <c r="Q564" s="240"/>
      <c r="R564" s="239"/>
      <c r="S564" s="240"/>
      <c r="T564" s="216"/>
      <c r="U564" s="196"/>
    </row>
    <row r="565" spans="3:21" s="185" customFormat="1" ht="20.25" customHeight="1">
      <c r="C565" s="198"/>
      <c r="D565" s="203">
        <f t="shared" si="110"/>
        <v>565</v>
      </c>
      <c r="E565" s="207" t="s">
        <v>571</v>
      </c>
      <c r="F565" s="211"/>
      <c r="G565" s="206" t="s">
        <v>37</v>
      </c>
      <c r="H565" s="206"/>
      <c r="I565" s="224" t="s">
        <v>560</v>
      </c>
      <c r="J565" s="208" t="str">
        <f>J563</f>
        <v>40NB</v>
      </c>
      <c r="K565" s="234">
        <v>1</v>
      </c>
      <c r="L565" s="208" t="s">
        <v>81</v>
      </c>
      <c r="M565" s="217">
        <v>1</v>
      </c>
      <c r="N565" s="208" t="s">
        <v>81</v>
      </c>
      <c r="O565" s="218">
        <v>0.5</v>
      </c>
      <c r="P565" s="208" t="s">
        <v>112</v>
      </c>
      <c r="Q565" s="240">
        <f t="shared" si="121"/>
        <v>0.5</v>
      </c>
      <c r="R565" s="239">
        <v>1</v>
      </c>
      <c r="S565" s="240">
        <f t="shared" si="123"/>
        <v>1.5</v>
      </c>
      <c r="T565" s="216" t="s">
        <v>48</v>
      </c>
      <c r="U565" s="196" t="str">
        <f t="shared" si="122"/>
        <v>1.5 Hrs</v>
      </c>
    </row>
    <row r="566" spans="3:21" s="185" customFormat="1" ht="20.25" customHeight="1">
      <c r="C566" s="198"/>
      <c r="D566" s="203">
        <f t="shared" si="110"/>
        <v>566</v>
      </c>
      <c r="E566" s="207" t="s">
        <v>572</v>
      </c>
      <c r="F566" s="211">
        <f t="shared" si="124"/>
        <v>565</v>
      </c>
      <c r="G566" s="206" t="s">
        <v>115</v>
      </c>
      <c r="H566" s="206"/>
      <c r="I566" s="224">
        <v>10</v>
      </c>
      <c r="J566" s="225" t="s">
        <v>573</v>
      </c>
      <c r="K566" s="234">
        <v>1</v>
      </c>
      <c r="L566" s="208" t="s">
        <v>39</v>
      </c>
      <c r="M566" s="227">
        <f t="shared" ref="M566:M570" si="128">LEFT(J566,SEARCH(" ",J566,1)-1)*K566*3.142/1000</f>
        <v>0.23565</v>
      </c>
      <c r="N566" s="208"/>
      <c r="O566" s="246">
        <f>VLOOKUP(I566,BM!$A$2:$X$104,17,FALSE)</f>
        <v>1.88</v>
      </c>
      <c r="P566" s="208" t="s">
        <v>112</v>
      </c>
      <c r="Q566" s="240">
        <f t="shared" si="121"/>
        <v>0.44302199999999997</v>
      </c>
      <c r="R566" s="239">
        <v>1</v>
      </c>
      <c r="S566" s="240">
        <f t="shared" si="123"/>
        <v>1.44</v>
      </c>
      <c r="T566" s="216" t="s">
        <v>48</v>
      </c>
      <c r="U566" s="196" t="str">
        <f t="shared" si="122"/>
        <v>1.44 Hrs</v>
      </c>
    </row>
    <row r="567" spans="3:21" s="185" customFormat="1" ht="20.25" customHeight="1">
      <c r="C567" s="198"/>
      <c r="D567" s="203">
        <f t="shared" si="110"/>
        <v>567</v>
      </c>
      <c r="E567" s="207" t="s">
        <v>574</v>
      </c>
      <c r="F567" s="211">
        <f t="shared" si="124"/>
        <v>566</v>
      </c>
      <c r="G567" s="206" t="s">
        <v>115</v>
      </c>
      <c r="H567" s="206"/>
      <c r="I567" s="224">
        <v>10</v>
      </c>
      <c r="J567" s="211" t="str">
        <f>J566</f>
        <v>75 MM</v>
      </c>
      <c r="K567" s="234">
        <v>1</v>
      </c>
      <c r="L567" s="208" t="s">
        <v>39</v>
      </c>
      <c r="M567" s="227">
        <f t="shared" si="128"/>
        <v>0.23565</v>
      </c>
      <c r="N567" s="208"/>
      <c r="O567" s="246">
        <f>VLOOKUP(I567,BM!$A$2:$X$104,17,FALSE)</f>
        <v>1.88</v>
      </c>
      <c r="P567" s="208" t="s">
        <v>112</v>
      </c>
      <c r="Q567" s="240">
        <f t="shared" si="121"/>
        <v>0.44302199999999997</v>
      </c>
      <c r="R567" s="239">
        <v>1</v>
      </c>
      <c r="S567" s="240">
        <f t="shared" si="123"/>
        <v>1.44</v>
      </c>
      <c r="T567" s="216" t="s">
        <v>48</v>
      </c>
      <c r="U567" s="196" t="str">
        <f t="shared" si="122"/>
        <v>1.44 Hrs</v>
      </c>
    </row>
    <row r="568" spans="3:21" s="185" customFormat="1" ht="20.25" customHeight="1">
      <c r="C568" s="198"/>
      <c r="D568" s="203">
        <f t="shared" si="110"/>
        <v>568</v>
      </c>
      <c r="E568" s="207" t="s">
        <v>575</v>
      </c>
      <c r="F568" s="211">
        <f t="shared" si="124"/>
        <v>567</v>
      </c>
      <c r="G568" s="206" t="s">
        <v>44</v>
      </c>
      <c r="H568" s="206"/>
      <c r="I568" s="208"/>
      <c r="J568" s="211" t="str">
        <f>J567</f>
        <v>75 MM</v>
      </c>
      <c r="K568" s="234">
        <v>2</v>
      </c>
      <c r="L568" s="208" t="s">
        <v>39</v>
      </c>
      <c r="M568" s="217">
        <v>2</v>
      </c>
      <c r="N568" s="208"/>
      <c r="O568" s="218">
        <v>0.5</v>
      </c>
      <c r="P568" s="208" t="s">
        <v>112</v>
      </c>
      <c r="Q568" s="240">
        <f t="shared" si="121"/>
        <v>1</v>
      </c>
      <c r="R568" s="239">
        <v>1</v>
      </c>
      <c r="S568" s="240">
        <f t="shared" si="123"/>
        <v>2</v>
      </c>
      <c r="T568" s="216" t="s">
        <v>48</v>
      </c>
      <c r="U568" s="196" t="str">
        <f t="shared" si="122"/>
        <v>2 Hrs</v>
      </c>
    </row>
    <row r="569" spans="3:21" s="185" customFormat="1" ht="20.25" customHeight="1">
      <c r="C569" s="198"/>
      <c r="D569" s="203">
        <f t="shared" si="110"/>
        <v>569</v>
      </c>
      <c r="E569" s="207" t="s">
        <v>576</v>
      </c>
      <c r="F569" s="211">
        <f t="shared" si="124"/>
        <v>568</v>
      </c>
      <c r="G569" s="206" t="s">
        <v>115</v>
      </c>
      <c r="H569" s="206"/>
      <c r="I569" s="224">
        <v>10</v>
      </c>
      <c r="J569" s="211" t="str">
        <f>J568</f>
        <v>75 MM</v>
      </c>
      <c r="K569" s="234">
        <v>1</v>
      </c>
      <c r="L569" s="208" t="s">
        <v>39</v>
      </c>
      <c r="M569" s="227">
        <f t="shared" si="128"/>
        <v>0.23565</v>
      </c>
      <c r="N569" s="208"/>
      <c r="O569" s="246">
        <f>VLOOKUP(I569,BM!$A$2:$X$104,17,FALSE)</f>
        <v>1.88</v>
      </c>
      <c r="P569" s="208" t="s">
        <v>112</v>
      </c>
      <c r="Q569" s="240">
        <f t="shared" si="121"/>
        <v>0.44302199999999997</v>
      </c>
      <c r="R569" s="239">
        <v>1</v>
      </c>
      <c r="S569" s="240">
        <f t="shared" si="123"/>
        <v>1.44</v>
      </c>
      <c r="T569" s="216" t="s">
        <v>48</v>
      </c>
      <c r="U569" s="196" t="str">
        <f t="shared" si="122"/>
        <v>1.44 Hrs</v>
      </c>
    </row>
    <row r="570" spans="3:21" s="185" customFormat="1" ht="20.25" customHeight="1">
      <c r="C570" s="198"/>
      <c r="D570" s="203">
        <f t="shared" si="110"/>
        <v>570</v>
      </c>
      <c r="E570" s="207" t="s">
        <v>577</v>
      </c>
      <c r="F570" s="211">
        <f t="shared" si="124"/>
        <v>569</v>
      </c>
      <c r="G570" s="206" t="s">
        <v>115</v>
      </c>
      <c r="H570" s="206"/>
      <c r="I570" s="224">
        <v>10</v>
      </c>
      <c r="J570" s="211" t="str">
        <f>J569</f>
        <v>75 MM</v>
      </c>
      <c r="K570" s="234">
        <v>1</v>
      </c>
      <c r="L570" s="208" t="s">
        <v>39</v>
      </c>
      <c r="M570" s="227">
        <f t="shared" si="128"/>
        <v>0.23565</v>
      </c>
      <c r="N570" s="208"/>
      <c r="O570" s="246">
        <f>VLOOKUP(I570,BM!$A$2:$X$104,17,FALSE)</f>
        <v>1.88</v>
      </c>
      <c r="P570" s="208" t="s">
        <v>112</v>
      </c>
      <c r="Q570" s="240">
        <f t="shared" si="121"/>
        <v>0.44302199999999997</v>
      </c>
      <c r="R570" s="239">
        <v>1</v>
      </c>
      <c r="S570" s="240">
        <f t="shared" si="123"/>
        <v>1.44</v>
      </c>
      <c r="T570" s="216" t="s">
        <v>48</v>
      </c>
      <c r="U570" s="196" t="str">
        <f t="shared" si="122"/>
        <v>1.44 Hrs</v>
      </c>
    </row>
    <row r="571" spans="3:21" s="185" customFormat="1" ht="20.25" customHeight="1">
      <c r="C571" s="198">
        <f>D571</f>
        <v>571</v>
      </c>
      <c r="D571" s="203">
        <f t="shared" si="110"/>
        <v>571</v>
      </c>
      <c r="E571" s="209" t="s">
        <v>578</v>
      </c>
      <c r="F571" s="210">
        <f>D564</f>
        <v>564</v>
      </c>
      <c r="G571" s="206"/>
      <c r="H571" s="206"/>
      <c r="I571" s="208"/>
      <c r="J571" s="208"/>
      <c r="K571" s="234"/>
      <c r="L571" s="208"/>
      <c r="M571" s="217"/>
      <c r="N571" s="208"/>
      <c r="O571" s="218"/>
      <c r="P571" s="208"/>
      <c r="Q571" s="240"/>
      <c r="R571" s="239"/>
      <c r="S571" s="240"/>
      <c r="T571" s="216"/>
      <c r="U571" s="196"/>
    </row>
    <row r="572" spans="3:21" s="185" customFormat="1" ht="20.25" customHeight="1">
      <c r="C572" s="198"/>
      <c r="D572" s="203">
        <f t="shared" si="110"/>
        <v>572</v>
      </c>
      <c r="E572" s="207" t="s">
        <v>579</v>
      </c>
      <c r="F572" s="211"/>
      <c r="G572" s="206" t="s">
        <v>149</v>
      </c>
      <c r="H572" s="206"/>
      <c r="I572" s="224">
        <v>20</v>
      </c>
      <c r="J572" s="225" t="str">
        <f>J563</f>
        <v>40NB</v>
      </c>
      <c r="K572" s="234">
        <v>1</v>
      </c>
      <c r="L572" s="208" t="s">
        <v>39</v>
      </c>
      <c r="M572" s="217">
        <v>1</v>
      </c>
      <c r="N572" s="208" t="s">
        <v>564</v>
      </c>
      <c r="O572" s="246">
        <f>VLOOKUP(I572,BM!$A$2:$X$104,23,FALSE)</f>
        <v>8</v>
      </c>
      <c r="P572" s="208" t="s">
        <v>112</v>
      </c>
      <c r="Q572" s="240">
        <f t="shared" si="121"/>
        <v>8</v>
      </c>
      <c r="R572" s="239">
        <v>1</v>
      </c>
      <c r="S572" s="240">
        <f t="shared" si="123"/>
        <v>9</v>
      </c>
      <c r="T572" s="216" t="s">
        <v>48</v>
      </c>
      <c r="U572" s="196" t="str">
        <f t="shared" si="122"/>
        <v>9 Hrs</v>
      </c>
    </row>
    <row r="573" spans="3:21" s="185" customFormat="1" ht="20.25" customHeight="1">
      <c r="C573" s="198"/>
      <c r="D573" s="203">
        <f t="shared" si="110"/>
        <v>573</v>
      </c>
      <c r="E573" s="207" t="s">
        <v>580</v>
      </c>
      <c r="F573" s="211">
        <f t="shared" si="124"/>
        <v>572</v>
      </c>
      <c r="G573" s="206" t="s">
        <v>63</v>
      </c>
      <c r="H573" s="206"/>
      <c r="I573" s="224" t="s">
        <v>581</v>
      </c>
      <c r="J573" s="211" t="str">
        <f>J563</f>
        <v>40NB</v>
      </c>
      <c r="K573" s="234">
        <v>1</v>
      </c>
      <c r="L573" s="208" t="s">
        <v>485</v>
      </c>
      <c r="M573" s="217">
        <v>1</v>
      </c>
      <c r="N573" s="208" t="s">
        <v>39</v>
      </c>
      <c r="O573" s="218">
        <v>1</v>
      </c>
      <c r="P573" s="208" t="s">
        <v>41</v>
      </c>
      <c r="Q573" s="240">
        <f t="shared" si="121"/>
        <v>1</v>
      </c>
      <c r="R573" s="239"/>
      <c r="S573" s="240">
        <f t="shared" si="123"/>
        <v>1</v>
      </c>
      <c r="T573" s="216" t="s">
        <v>48</v>
      </c>
      <c r="U573" s="196" t="str">
        <f t="shared" si="122"/>
        <v>1 Hrs</v>
      </c>
    </row>
    <row r="574" spans="3:21" s="185" customFormat="1" ht="20.25" customHeight="1">
      <c r="C574" s="198">
        <f t="shared" ref="C574:C575" si="129">D574</f>
        <v>574</v>
      </c>
      <c r="D574" s="203">
        <f t="shared" si="110"/>
        <v>574</v>
      </c>
      <c r="E574" s="247" t="s">
        <v>582</v>
      </c>
      <c r="F574" s="210"/>
      <c r="G574" s="206"/>
      <c r="H574" s="206"/>
      <c r="I574" s="208"/>
      <c r="J574" s="208"/>
      <c r="K574" s="234"/>
      <c r="L574" s="208"/>
      <c r="M574" s="217"/>
      <c r="N574" s="208"/>
      <c r="O574" s="218"/>
      <c r="P574" s="208"/>
      <c r="Q574" s="240"/>
      <c r="R574" s="239"/>
      <c r="S574" s="240"/>
      <c r="T574" s="216"/>
      <c r="U574" s="196"/>
    </row>
    <row r="575" spans="3:21" s="185" customFormat="1" ht="20.25" customHeight="1">
      <c r="C575" s="198">
        <f t="shared" si="129"/>
        <v>575</v>
      </c>
      <c r="D575" s="203">
        <f t="shared" si="110"/>
        <v>575</v>
      </c>
      <c r="E575" s="209" t="s">
        <v>583</v>
      </c>
      <c r="F575" s="210">
        <f>D13</f>
        <v>13</v>
      </c>
      <c r="G575" s="206"/>
      <c r="H575" s="206"/>
      <c r="I575" s="208"/>
      <c r="J575" s="208"/>
      <c r="K575" s="234"/>
      <c r="L575" s="208"/>
      <c r="M575" s="217"/>
      <c r="N575" s="208"/>
      <c r="O575" s="218"/>
      <c r="P575" s="208"/>
      <c r="Q575" s="240"/>
      <c r="R575" s="239"/>
      <c r="S575" s="240"/>
      <c r="T575" s="216"/>
      <c r="U575" s="196"/>
    </row>
    <row r="576" spans="3:21" s="185" customFormat="1" ht="20.25" customHeight="1">
      <c r="C576" s="198"/>
      <c r="D576" s="203">
        <f t="shared" si="110"/>
        <v>576</v>
      </c>
      <c r="E576" s="207" t="s">
        <v>584</v>
      </c>
      <c r="F576" s="211"/>
      <c r="G576" s="206" t="s">
        <v>37</v>
      </c>
      <c r="H576" s="206"/>
      <c r="I576" s="208"/>
      <c r="J576" s="208"/>
      <c r="K576" s="234">
        <v>1</v>
      </c>
      <c r="L576" s="208" t="s">
        <v>39</v>
      </c>
      <c r="M576" s="217">
        <v>1</v>
      </c>
      <c r="N576" s="208"/>
      <c r="O576" s="218">
        <v>4</v>
      </c>
      <c r="P576" s="208" t="s">
        <v>41</v>
      </c>
      <c r="Q576" s="240">
        <f t="shared" si="121"/>
        <v>4</v>
      </c>
      <c r="R576" s="239"/>
      <c r="S576" s="240">
        <f t="shared" si="123"/>
        <v>4</v>
      </c>
      <c r="T576" s="216" t="s">
        <v>42</v>
      </c>
      <c r="U576" s="196" t="str">
        <f t="shared" si="122"/>
        <v>4 Days</v>
      </c>
    </row>
    <row r="577" spans="3:21" s="185" customFormat="1" ht="20.25" customHeight="1">
      <c r="C577" s="198"/>
      <c r="D577" s="203">
        <f t="shared" si="110"/>
        <v>577</v>
      </c>
      <c r="E577" s="207" t="s">
        <v>585</v>
      </c>
      <c r="F577" s="211">
        <f t="shared" si="124"/>
        <v>576</v>
      </c>
      <c r="G577" s="206" t="s">
        <v>44</v>
      </c>
      <c r="H577" s="206"/>
      <c r="I577" s="224">
        <v>50</v>
      </c>
      <c r="J577" s="234" t="s">
        <v>586</v>
      </c>
      <c r="K577" s="234">
        <v>1</v>
      </c>
      <c r="L577" s="208" t="s">
        <v>81</v>
      </c>
      <c r="M577" s="227">
        <f>LEFT(J577,SEARCH(" ",J577,1)-1)*1.28*3.142/1000</f>
        <v>6.2337280000000002</v>
      </c>
      <c r="N577" s="208" t="s">
        <v>139</v>
      </c>
      <c r="O577" s="246">
        <f>VLOOKUP(I577,BM!$A$2:$X$104,2,FALSE)</f>
        <v>0.1</v>
      </c>
      <c r="P577" s="208" t="s">
        <v>112</v>
      </c>
      <c r="Q577" s="240">
        <f t="shared" si="121"/>
        <v>0.62337280000000006</v>
      </c>
      <c r="R577" s="239">
        <v>1</v>
      </c>
      <c r="S577" s="240">
        <f t="shared" si="123"/>
        <v>1.62</v>
      </c>
      <c r="T577" s="216" t="s">
        <v>48</v>
      </c>
      <c r="U577" s="196" t="str">
        <f t="shared" si="122"/>
        <v>1.62 Hrs</v>
      </c>
    </row>
    <row r="578" spans="3:21" s="185" customFormat="1" ht="20.25" customHeight="1">
      <c r="C578" s="198"/>
      <c r="D578" s="203">
        <f t="shared" si="110"/>
        <v>578</v>
      </c>
      <c r="E578" s="207" t="s">
        <v>587</v>
      </c>
      <c r="F578" s="211">
        <f t="shared" si="124"/>
        <v>577</v>
      </c>
      <c r="G578" s="206" t="s">
        <v>44</v>
      </c>
      <c r="H578" s="206"/>
      <c r="I578" s="233">
        <v>50</v>
      </c>
      <c r="J578" s="234" t="s">
        <v>586</v>
      </c>
      <c r="K578" s="234">
        <v>1</v>
      </c>
      <c r="L578" s="208" t="s">
        <v>81</v>
      </c>
      <c r="M578" s="235">
        <v>1</v>
      </c>
      <c r="N578" s="208" t="s">
        <v>81</v>
      </c>
      <c r="O578" s="246">
        <v>1</v>
      </c>
      <c r="P578" s="208" t="s">
        <v>162</v>
      </c>
      <c r="Q578" s="240">
        <f t="shared" si="121"/>
        <v>1</v>
      </c>
      <c r="R578" s="239">
        <v>1</v>
      </c>
      <c r="S578" s="240">
        <f t="shared" si="123"/>
        <v>2</v>
      </c>
      <c r="T578" s="216" t="s">
        <v>48</v>
      </c>
      <c r="U578" s="196" t="str">
        <f t="shared" si="122"/>
        <v>2 Hrs</v>
      </c>
    </row>
    <row r="579" spans="3:21" s="185" customFormat="1" ht="20.25" customHeight="1">
      <c r="C579" s="198"/>
      <c r="D579" s="203">
        <f t="shared" ref="D579:D642" si="130">D578+1</f>
        <v>579</v>
      </c>
      <c r="E579" s="207" t="s">
        <v>588</v>
      </c>
      <c r="F579" s="211">
        <f t="shared" si="124"/>
        <v>578</v>
      </c>
      <c r="G579" s="206" t="s">
        <v>52</v>
      </c>
      <c r="H579" s="206"/>
      <c r="I579" s="233">
        <v>50</v>
      </c>
      <c r="J579" s="234" t="s">
        <v>586</v>
      </c>
      <c r="K579" s="234">
        <v>1</v>
      </c>
      <c r="L579" s="208" t="s">
        <v>81</v>
      </c>
      <c r="M579" s="227">
        <f>LEFT(J579,SEARCH(" ",J579,1)-1)*1.28*3.142/1000</f>
        <v>6.2337280000000002</v>
      </c>
      <c r="N579" s="208" t="s">
        <v>139</v>
      </c>
      <c r="O579" s="246">
        <f>VLOOKUP(I579,BM!$A$2:$X$104,3,FALSE)</f>
        <v>0.25</v>
      </c>
      <c r="P579" s="208" t="s">
        <v>112</v>
      </c>
      <c r="Q579" s="240">
        <f t="shared" si="121"/>
        <v>1.558432</v>
      </c>
      <c r="R579" s="239">
        <v>1</v>
      </c>
      <c r="S579" s="240">
        <f t="shared" si="123"/>
        <v>2.56</v>
      </c>
      <c r="T579" s="216" t="s">
        <v>48</v>
      </c>
      <c r="U579" s="196" t="str">
        <f t="shared" si="122"/>
        <v>2.56 Hrs</v>
      </c>
    </row>
    <row r="580" spans="3:21" s="185" customFormat="1" ht="20.25" customHeight="1">
      <c r="C580" s="198"/>
      <c r="D580" s="203">
        <f t="shared" si="130"/>
        <v>580</v>
      </c>
      <c r="E580" s="207" t="s">
        <v>589</v>
      </c>
      <c r="F580" s="211">
        <f t="shared" si="124"/>
        <v>579</v>
      </c>
      <c r="G580" s="206" t="s">
        <v>61</v>
      </c>
      <c r="H580" s="206"/>
      <c r="I580" s="233">
        <f>I577</f>
        <v>50</v>
      </c>
      <c r="J580" s="234" t="s">
        <v>586</v>
      </c>
      <c r="K580" s="234">
        <v>1</v>
      </c>
      <c r="L580" s="208" t="s">
        <v>81</v>
      </c>
      <c r="M580" s="227">
        <f>LEFT(J580,SEARCH(" ",J580,1)-1)*1.28*3.142/1000</f>
        <v>6.2337280000000002</v>
      </c>
      <c r="N580" s="208" t="s">
        <v>139</v>
      </c>
      <c r="O580" s="246">
        <f>VLOOKUP(I580,BM!$A$2:$X$104,6,FALSE)</f>
        <v>1</v>
      </c>
      <c r="P580" s="208" t="s">
        <v>112</v>
      </c>
      <c r="Q580" s="240">
        <f t="shared" si="121"/>
        <v>6.2337280000000002</v>
      </c>
      <c r="R580" s="239">
        <v>1</v>
      </c>
      <c r="S580" s="240">
        <f t="shared" si="123"/>
        <v>7.23</v>
      </c>
      <c r="T580" s="216" t="s">
        <v>48</v>
      </c>
      <c r="U580" s="196" t="str">
        <f t="shared" si="122"/>
        <v>7.23 Hrs</v>
      </c>
    </row>
    <row r="581" spans="3:21" s="185" customFormat="1" ht="20.25" customHeight="1">
      <c r="C581" s="198">
        <f>D581</f>
        <v>581</v>
      </c>
      <c r="D581" s="203">
        <f t="shared" si="130"/>
        <v>581</v>
      </c>
      <c r="E581" s="209" t="s">
        <v>590</v>
      </c>
      <c r="F581" s="210">
        <f>D575</f>
        <v>575</v>
      </c>
      <c r="G581" s="206"/>
      <c r="H581" s="206"/>
      <c r="I581" s="208"/>
      <c r="J581" s="208"/>
      <c r="K581" s="234"/>
      <c r="L581" s="208"/>
      <c r="M581" s="217"/>
      <c r="N581" s="208"/>
      <c r="O581" s="218"/>
      <c r="P581" s="208"/>
      <c r="Q581" s="240"/>
      <c r="R581" s="239"/>
      <c r="S581" s="240"/>
      <c r="T581" s="216"/>
      <c r="U581" s="196"/>
    </row>
    <row r="582" spans="3:21" s="185" customFormat="1" ht="20.25" customHeight="1">
      <c r="C582" s="198"/>
      <c r="D582" s="203">
        <f t="shared" si="130"/>
        <v>582</v>
      </c>
      <c r="E582" s="207" t="s">
        <v>591</v>
      </c>
      <c r="F582" s="211"/>
      <c r="G582" s="206" t="s">
        <v>55</v>
      </c>
      <c r="H582" s="206"/>
      <c r="I582" s="233">
        <f>I580</f>
        <v>50</v>
      </c>
      <c r="J582" s="234" t="str">
        <f>J579</f>
        <v>1550 mm id</v>
      </c>
      <c r="K582" s="234">
        <v>1</v>
      </c>
      <c r="L582" s="208" t="s">
        <v>81</v>
      </c>
      <c r="M582" s="217">
        <v>1</v>
      </c>
      <c r="N582" s="208" t="s">
        <v>39</v>
      </c>
      <c r="O582" s="218">
        <v>10</v>
      </c>
      <c r="P582" s="208" t="s">
        <v>41</v>
      </c>
      <c r="Q582" s="240">
        <f t="shared" si="121"/>
        <v>10</v>
      </c>
      <c r="R582" s="239"/>
      <c r="S582" s="240">
        <f t="shared" si="123"/>
        <v>10</v>
      </c>
      <c r="T582" s="216" t="s">
        <v>42</v>
      </c>
      <c r="U582" s="196" t="str">
        <f t="shared" si="122"/>
        <v>10 Days</v>
      </c>
    </row>
    <row r="583" spans="3:21" s="185" customFormat="1" ht="20.25" customHeight="1">
      <c r="C583" s="198"/>
      <c r="D583" s="203">
        <f t="shared" si="130"/>
        <v>583</v>
      </c>
      <c r="E583" s="207" t="s">
        <v>592</v>
      </c>
      <c r="F583" s="211">
        <f t="shared" si="124"/>
        <v>582</v>
      </c>
      <c r="G583" s="206" t="s">
        <v>44</v>
      </c>
      <c r="H583" s="206"/>
      <c r="I583" s="233">
        <f>I580</f>
        <v>50</v>
      </c>
      <c r="J583" s="234" t="str">
        <f>J580</f>
        <v>1550 mm id</v>
      </c>
      <c r="K583" s="234">
        <v>1</v>
      </c>
      <c r="L583" s="208" t="s">
        <v>81</v>
      </c>
      <c r="M583" s="217">
        <v>1</v>
      </c>
      <c r="N583" s="208" t="s">
        <v>39</v>
      </c>
      <c r="O583" s="218">
        <v>1</v>
      </c>
      <c r="P583" s="208" t="s">
        <v>41</v>
      </c>
      <c r="Q583" s="240">
        <f t="shared" si="121"/>
        <v>1</v>
      </c>
      <c r="R583" s="239"/>
      <c r="S583" s="240">
        <f t="shared" si="123"/>
        <v>1</v>
      </c>
      <c r="T583" s="216" t="s">
        <v>42</v>
      </c>
      <c r="U583" s="196" t="str">
        <f t="shared" si="122"/>
        <v>1 Days</v>
      </c>
    </row>
    <row r="584" spans="3:21" s="185" customFormat="1" ht="20.25" customHeight="1">
      <c r="C584" s="198">
        <f>D584</f>
        <v>584</v>
      </c>
      <c r="D584" s="203">
        <f t="shared" si="130"/>
        <v>584</v>
      </c>
      <c r="E584" s="209" t="s">
        <v>593</v>
      </c>
      <c r="F584" s="210">
        <f>D581</f>
        <v>581</v>
      </c>
      <c r="G584" s="206"/>
      <c r="H584" s="206"/>
      <c r="I584" s="208"/>
      <c r="J584" s="208"/>
      <c r="K584" s="234"/>
      <c r="L584" s="208"/>
      <c r="M584" s="217"/>
      <c r="N584" s="208"/>
      <c r="O584" s="218"/>
      <c r="P584" s="208"/>
      <c r="Q584" s="240"/>
      <c r="R584" s="239"/>
      <c r="S584" s="240"/>
      <c r="T584" s="216"/>
      <c r="U584" s="196"/>
    </row>
    <row r="585" spans="3:21" s="185" customFormat="1" ht="20.25" customHeight="1">
      <c r="C585" s="198"/>
      <c r="D585" s="203">
        <f t="shared" si="130"/>
        <v>585</v>
      </c>
      <c r="E585" s="207" t="s">
        <v>594</v>
      </c>
      <c r="F585" s="211"/>
      <c r="G585" s="206" t="s">
        <v>44</v>
      </c>
      <c r="H585" s="206"/>
      <c r="I585" s="233">
        <f>I583</f>
        <v>50</v>
      </c>
      <c r="J585" s="234" t="str">
        <f>J583</f>
        <v>1550 mm id</v>
      </c>
      <c r="K585" s="234">
        <v>1</v>
      </c>
      <c r="L585" s="208" t="s">
        <v>81</v>
      </c>
      <c r="M585" s="217">
        <v>1</v>
      </c>
      <c r="N585" s="208" t="s">
        <v>39</v>
      </c>
      <c r="O585" s="218">
        <v>4</v>
      </c>
      <c r="P585" s="208" t="s">
        <v>595</v>
      </c>
      <c r="Q585" s="240">
        <f t="shared" si="121"/>
        <v>4</v>
      </c>
      <c r="R585" s="239"/>
      <c r="S585" s="240">
        <f t="shared" si="123"/>
        <v>4</v>
      </c>
      <c r="T585" s="216" t="s">
        <v>48</v>
      </c>
      <c r="U585" s="196" t="str">
        <f t="shared" si="122"/>
        <v>4 Hrs</v>
      </c>
    </row>
    <row r="586" spans="3:21" s="185" customFormat="1" ht="20.25" customHeight="1">
      <c r="C586" s="198"/>
      <c r="D586" s="203">
        <f t="shared" si="130"/>
        <v>586</v>
      </c>
      <c r="E586" s="207" t="s">
        <v>593</v>
      </c>
      <c r="F586" s="211">
        <f t="shared" si="124"/>
        <v>585</v>
      </c>
      <c r="G586" s="206" t="s">
        <v>52</v>
      </c>
      <c r="H586" s="206"/>
      <c r="I586" s="233">
        <f>I583</f>
        <v>50</v>
      </c>
      <c r="J586" s="234" t="str">
        <f>J583</f>
        <v>1550 mm id</v>
      </c>
      <c r="K586" s="234">
        <v>1</v>
      </c>
      <c r="L586" s="208" t="s">
        <v>81</v>
      </c>
      <c r="M586" s="227">
        <f>LEFT(J586,SEARCH(" ",J586,1)-1)*1.28*3.142/1000</f>
        <v>6.2337280000000002</v>
      </c>
      <c r="N586" s="208" t="s">
        <v>249</v>
      </c>
      <c r="O586" s="246">
        <f>VLOOKUP(I586,BM!$A$2:$X$104,2,FALSE)</f>
        <v>0.1</v>
      </c>
      <c r="P586" s="208" t="s">
        <v>112</v>
      </c>
      <c r="Q586" s="240">
        <f t="shared" si="121"/>
        <v>0.62337280000000006</v>
      </c>
      <c r="R586" s="239">
        <v>2</v>
      </c>
      <c r="S586" s="240">
        <f t="shared" si="123"/>
        <v>2.62</v>
      </c>
      <c r="T586" s="216" t="s">
        <v>48</v>
      </c>
      <c r="U586" s="196" t="str">
        <f t="shared" si="122"/>
        <v>2.62 Hrs</v>
      </c>
    </row>
    <row r="587" spans="3:21" s="185" customFormat="1" ht="20.25" customHeight="1">
      <c r="C587" s="198">
        <f>D587</f>
        <v>587</v>
      </c>
      <c r="D587" s="203">
        <f t="shared" si="130"/>
        <v>587</v>
      </c>
      <c r="E587" s="209" t="s">
        <v>596</v>
      </c>
      <c r="F587" s="210">
        <f>D584</f>
        <v>584</v>
      </c>
      <c r="G587" s="206"/>
      <c r="H587" s="206"/>
      <c r="I587" s="208"/>
      <c r="J587" s="208"/>
      <c r="K587" s="234"/>
      <c r="L587" s="208"/>
      <c r="M587" s="217"/>
      <c r="N587" s="208"/>
      <c r="O587" s="218"/>
      <c r="P587" s="208"/>
      <c r="Q587" s="240"/>
      <c r="R587" s="239"/>
      <c r="S587" s="240"/>
      <c r="T587" s="216"/>
      <c r="U587" s="196"/>
    </row>
    <row r="588" spans="3:21" s="185" customFormat="1" ht="20.25" customHeight="1">
      <c r="C588" s="198"/>
      <c r="D588" s="203">
        <f t="shared" si="130"/>
        <v>588</v>
      </c>
      <c r="E588" s="207" t="s">
        <v>597</v>
      </c>
      <c r="F588" s="211"/>
      <c r="G588" s="206" t="s">
        <v>121</v>
      </c>
      <c r="H588" s="206"/>
      <c r="I588" s="233">
        <v>25</v>
      </c>
      <c r="J588" s="234" t="str">
        <f>J586</f>
        <v>1550 mm id</v>
      </c>
      <c r="K588" s="234">
        <v>1</v>
      </c>
      <c r="L588" s="208" t="s">
        <v>81</v>
      </c>
      <c r="M588" s="227">
        <f>LEFT(J588,SEARCH(" ",J588,1)-1)*1.28*3.142/1000</f>
        <v>6.2337280000000002</v>
      </c>
      <c r="N588" s="208" t="s">
        <v>249</v>
      </c>
      <c r="O588" s="246">
        <f>VLOOKUP(I588,BM!$A$2:$X$104,6,FALSE)</f>
        <v>1</v>
      </c>
      <c r="P588" s="208" t="s">
        <v>112</v>
      </c>
      <c r="Q588" s="240">
        <f t="shared" si="121"/>
        <v>6.2337280000000002</v>
      </c>
      <c r="R588" s="239">
        <v>2</v>
      </c>
      <c r="S588" s="240">
        <f t="shared" si="123"/>
        <v>8.23</v>
      </c>
      <c r="T588" s="216" t="s">
        <v>48</v>
      </c>
      <c r="U588" s="196" t="str">
        <f t="shared" si="122"/>
        <v>8.23 Hrs</v>
      </c>
    </row>
    <row r="589" spans="3:21" s="185" customFormat="1" ht="20.25" customHeight="1">
      <c r="C589" s="198">
        <f>D589</f>
        <v>589</v>
      </c>
      <c r="D589" s="203">
        <f t="shared" si="130"/>
        <v>589</v>
      </c>
      <c r="E589" s="209" t="s">
        <v>598</v>
      </c>
      <c r="F589" s="210" t="str">
        <f>CONCATENATE(D587,",",D12)</f>
        <v>587,12</v>
      </c>
      <c r="G589" s="206"/>
      <c r="H589" s="206"/>
      <c r="I589" s="208"/>
      <c r="J589" s="208"/>
      <c r="K589" s="234"/>
      <c r="L589" s="208"/>
      <c r="M589" s="217"/>
      <c r="N589" s="208"/>
      <c r="O589" s="218"/>
      <c r="P589" s="208"/>
      <c r="Q589" s="240"/>
      <c r="R589" s="239"/>
      <c r="S589" s="240"/>
      <c r="T589" s="216"/>
      <c r="U589" s="196"/>
    </row>
    <row r="590" spans="3:21" s="185" customFormat="1" ht="20.25" customHeight="1">
      <c r="C590" s="198"/>
      <c r="D590" s="203">
        <f t="shared" si="130"/>
        <v>590</v>
      </c>
      <c r="E590" s="207" t="s">
        <v>598</v>
      </c>
      <c r="F590" s="211"/>
      <c r="G590" s="206" t="s">
        <v>111</v>
      </c>
      <c r="H590" s="206"/>
      <c r="I590" s="233">
        <f>I588</f>
        <v>25</v>
      </c>
      <c r="J590" s="234" t="str">
        <f>J588</f>
        <v>1550 mm id</v>
      </c>
      <c r="K590" s="234">
        <v>1</v>
      </c>
      <c r="L590" s="208" t="s">
        <v>81</v>
      </c>
      <c r="M590" s="227">
        <f>LEFT(J590,SEARCH(" ",J590,1)-1)*1.28*3.142/1000</f>
        <v>6.2337280000000002</v>
      </c>
      <c r="N590" s="208" t="s">
        <v>249</v>
      </c>
      <c r="O590" s="246">
        <f>VLOOKUP(I590,BM!$A$2:$X$104,15,FALSE)</f>
        <v>1</v>
      </c>
      <c r="P590" s="208" t="s">
        <v>112</v>
      </c>
      <c r="Q590" s="240">
        <f t="shared" si="121"/>
        <v>6.2337280000000002</v>
      </c>
      <c r="R590" s="239">
        <v>2</v>
      </c>
      <c r="S590" s="240">
        <f t="shared" si="123"/>
        <v>8.23</v>
      </c>
      <c r="T590" s="216" t="s">
        <v>48</v>
      </c>
      <c r="U590" s="196" t="str">
        <f t="shared" si="122"/>
        <v>8.23 Hrs</v>
      </c>
    </row>
    <row r="591" spans="3:21" s="185" customFormat="1" ht="20.25" customHeight="1">
      <c r="C591" s="198">
        <f>D591</f>
        <v>591</v>
      </c>
      <c r="D591" s="203">
        <f t="shared" si="130"/>
        <v>591</v>
      </c>
      <c r="E591" s="209" t="s">
        <v>599</v>
      </c>
      <c r="F591" s="210">
        <f>D589</f>
        <v>589</v>
      </c>
      <c r="G591" s="206"/>
      <c r="H591" s="206"/>
      <c r="I591" s="208"/>
      <c r="J591" s="208"/>
      <c r="K591" s="234"/>
      <c r="L591" s="208"/>
      <c r="M591" s="217"/>
      <c r="N591" s="208"/>
      <c r="O591" s="218"/>
      <c r="P591" s="208"/>
      <c r="Q591" s="240"/>
      <c r="R591" s="239"/>
      <c r="S591" s="240"/>
      <c r="T591" s="216"/>
      <c r="U591" s="196"/>
    </row>
    <row r="592" spans="3:21" s="185" customFormat="1" ht="20.25" customHeight="1">
      <c r="C592" s="198"/>
      <c r="D592" s="203">
        <f t="shared" si="130"/>
        <v>592</v>
      </c>
      <c r="E592" s="207" t="s">
        <v>599</v>
      </c>
      <c r="F592" s="211"/>
      <c r="G592" s="206" t="s">
        <v>115</v>
      </c>
      <c r="H592" s="206"/>
      <c r="I592" s="224">
        <v>30</v>
      </c>
      <c r="J592" s="234" t="str">
        <f>J590</f>
        <v>1550 mm id</v>
      </c>
      <c r="K592" s="234">
        <v>1</v>
      </c>
      <c r="L592" s="208" t="s">
        <v>81</v>
      </c>
      <c r="M592" s="227">
        <f>LEFT(J592,SEARCH(" ",J592,1)-1)*1.28*3.142/1000</f>
        <v>6.2337280000000002</v>
      </c>
      <c r="N592" s="208" t="s">
        <v>249</v>
      </c>
      <c r="O592" s="246">
        <f>VLOOKUP(I592,BM!$A$2:$X$104,23,FALSE)</f>
        <v>16.8</v>
      </c>
      <c r="P592" s="208" t="s">
        <v>112</v>
      </c>
      <c r="Q592" s="240">
        <f t="shared" si="121"/>
        <v>104.7266304</v>
      </c>
      <c r="R592" s="239">
        <v>2</v>
      </c>
      <c r="S592" s="240">
        <f t="shared" si="123"/>
        <v>106.73</v>
      </c>
      <c r="T592" s="216" t="s">
        <v>48</v>
      </c>
      <c r="U592" s="196" t="str">
        <f t="shared" si="122"/>
        <v>106.73 Hrs</v>
      </c>
    </row>
    <row r="593" spans="3:21" s="185" customFormat="1" ht="20.25" customHeight="1">
      <c r="C593" s="198"/>
      <c r="D593" s="203">
        <f t="shared" si="130"/>
        <v>593</v>
      </c>
      <c r="E593" s="207" t="s">
        <v>600</v>
      </c>
      <c r="F593" s="211">
        <f>D592</f>
        <v>592</v>
      </c>
      <c r="G593" s="206" t="s">
        <v>299</v>
      </c>
      <c r="H593" s="206"/>
      <c r="I593" s="224">
        <v>16</v>
      </c>
      <c r="J593" s="208" t="str">
        <f>J592</f>
        <v>1550 mm id</v>
      </c>
      <c r="K593" s="234">
        <v>1</v>
      </c>
      <c r="L593" s="208" t="s">
        <v>81</v>
      </c>
      <c r="M593" s="217">
        <v>1</v>
      </c>
      <c r="N593" s="208" t="s">
        <v>39</v>
      </c>
      <c r="O593" s="218">
        <v>4</v>
      </c>
      <c r="P593" s="208" t="s">
        <v>112</v>
      </c>
      <c r="Q593" s="240">
        <f t="shared" si="121"/>
        <v>4</v>
      </c>
      <c r="R593" s="239">
        <v>1</v>
      </c>
      <c r="S593" s="240">
        <f t="shared" si="123"/>
        <v>5</v>
      </c>
      <c r="T593" s="216" t="s">
        <v>48</v>
      </c>
      <c r="U593" s="196" t="str">
        <f t="shared" si="122"/>
        <v>5 Hrs</v>
      </c>
    </row>
    <row r="594" spans="3:21" s="185" customFormat="1" ht="20.25" customHeight="1">
      <c r="C594" s="198"/>
      <c r="D594" s="203">
        <f t="shared" si="130"/>
        <v>594</v>
      </c>
      <c r="E594" s="207" t="s">
        <v>601</v>
      </c>
      <c r="F594" s="211">
        <f t="shared" si="124"/>
        <v>593</v>
      </c>
      <c r="G594" s="206" t="s">
        <v>115</v>
      </c>
      <c r="H594" s="206"/>
      <c r="I594" s="224">
        <v>16</v>
      </c>
      <c r="J594" s="234" t="s">
        <v>602</v>
      </c>
      <c r="K594" s="234">
        <v>1</v>
      </c>
      <c r="L594" s="208" t="s">
        <v>81</v>
      </c>
      <c r="M594" s="227">
        <f>LEFT(J594,SEARCH(" ",J594,1)-1)/1000</f>
        <v>3</v>
      </c>
      <c r="N594" s="208" t="s">
        <v>249</v>
      </c>
      <c r="O594" s="246">
        <f>VLOOKUP(I594,BM!$A$2:$X$104,22,FALSE)</f>
        <v>2.8</v>
      </c>
      <c r="P594" s="208" t="s">
        <v>112</v>
      </c>
      <c r="Q594" s="240">
        <f t="shared" si="121"/>
        <v>8.3999999999999986</v>
      </c>
      <c r="R594" s="239">
        <v>2</v>
      </c>
      <c r="S594" s="240">
        <f t="shared" si="123"/>
        <v>10.4</v>
      </c>
      <c r="T594" s="216" t="s">
        <v>48</v>
      </c>
      <c r="U594" s="196" t="str">
        <f t="shared" si="122"/>
        <v>10.4 Hrs</v>
      </c>
    </row>
    <row r="595" spans="3:21" s="185" customFormat="1" ht="20.25" customHeight="1">
      <c r="C595" s="198"/>
      <c r="D595" s="203">
        <f t="shared" si="130"/>
        <v>595</v>
      </c>
      <c r="E595" s="207" t="s">
        <v>603</v>
      </c>
      <c r="F595" s="211">
        <f t="shared" si="124"/>
        <v>594</v>
      </c>
      <c r="G595" s="206" t="s">
        <v>44</v>
      </c>
      <c r="H595" s="206"/>
      <c r="I595" s="224">
        <v>16</v>
      </c>
      <c r="J595" s="208" t="str">
        <f>J594</f>
        <v>3000 mm</v>
      </c>
      <c r="K595" s="234">
        <v>1</v>
      </c>
      <c r="L595" s="208" t="s">
        <v>81</v>
      </c>
      <c r="M595" s="217">
        <v>1</v>
      </c>
      <c r="N595" s="208" t="s">
        <v>39</v>
      </c>
      <c r="O595" s="218">
        <v>6</v>
      </c>
      <c r="P595" s="208" t="s">
        <v>112</v>
      </c>
      <c r="Q595" s="240">
        <f t="shared" si="121"/>
        <v>6</v>
      </c>
      <c r="R595" s="239">
        <v>1</v>
      </c>
      <c r="S595" s="240">
        <f t="shared" si="123"/>
        <v>7</v>
      </c>
      <c r="T595" s="216" t="s">
        <v>48</v>
      </c>
      <c r="U595" s="196" t="str">
        <f t="shared" si="122"/>
        <v>7 Hrs</v>
      </c>
    </row>
    <row r="596" spans="3:21" s="185" customFormat="1" ht="20.25" customHeight="1">
      <c r="C596" s="198"/>
      <c r="D596" s="203">
        <f t="shared" si="130"/>
        <v>596</v>
      </c>
      <c r="E596" s="207" t="s">
        <v>604</v>
      </c>
      <c r="F596" s="211">
        <f t="shared" si="124"/>
        <v>595</v>
      </c>
      <c r="G596" s="206" t="s">
        <v>63</v>
      </c>
      <c r="H596" s="206"/>
      <c r="I596" s="224">
        <v>16</v>
      </c>
      <c r="J596" s="208" t="str">
        <f>J595</f>
        <v>3000 mm</v>
      </c>
      <c r="K596" s="234">
        <v>1</v>
      </c>
      <c r="L596" s="208" t="s">
        <v>81</v>
      </c>
      <c r="M596" s="217">
        <v>1</v>
      </c>
      <c r="N596" s="208" t="s">
        <v>39</v>
      </c>
      <c r="O596" s="218">
        <v>1</v>
      </c>
      <c r="P596" s="208" t="s">
        <v>112</v>
      </c>
      <c r="Q596" s="240">
        <f t="shared" si="121"/>
        <v>1</v>
      </c>
      <c r="R596" s="239">
        <v>1</v>
      </c>
      <c r="S596" s="240">
        <f t="shared" si="123"/>
        <v>2</v>
      </c>
      <c r="T596" s="216" t="s">
        <v>48</v>
      </c>
      <c r="U596" s="196" t="str">
        <f t="shared" si="122"/>
        <v>2 Hrs</v>
      </c>
    </row>
    <row r="597" spans="3:21" s="185" customFormat="1" ht="20.25" customHeight="1">
      <c r="C597" s="198">
        <f>D597</f>
        <v>597</v>
      </c>
      <c r="D597" s="203">
        <f t="shared" si="130"/>
        <v>597</v>
      </c>
      <c r="E597" s="209" t="s">
        <v>605</v>
      </c>
      <c r="F597" s="210">
        <f>D591</f>
        <v>591</v>
      </c>
      <c r="G597" s="206"/>
      <c r="H597" s="206"/>
      <c r="I597" s="208"/>
      <c r="J597" s="208"/>
      <c r="K597" s="234"/>
      <c r="L597" s="208"/>
      <c r="M597" s="217"/>
      <c r="N597" s="208"/>
      <c r="O597" s="218"/>
      <c r="P597" s="208"/>
      <c r="Q597" s="240"/>
      <c r="R597" s="239"/>
      <c r="S597" s="240"/>
      <c r="T597" s="216"/>
      <c r="U597" s="196"/>
    </row>
    <row r="598" spans="3:21" s="185" customFormat="1" ht="20.25" customHeight="1">
      <c r="C598" s="198"/>
      <c r="D598" s="203">
        <f t="shared" si="130"/>
        <v>598</v>
      </c>
      <c r="E598" s="207" t="s">
        <v>606</v>
      </c>
      <c r="F598" s="211"/>
      <c r="G598" s="206" t="s">
        <v>55</v>
      </c>
      <c r="H598" s="206"/>
      <c r="I598" s="208"/>
      <c r="J598" s="234" t="str">
        <f>J593</f>
        <v>1550 mm id</v>
      </c>
      <c r="K598" s="234">
        <v>1</v>
      </c>
      <c r="L598" s="208" t="s">
        <v>81</v>
      </c>
      <c r="M598" s="217">
        <v>1</v>
      </c>
      <c r="N598" s="208" t="s">
        <v>39</v>
      </c>
      <c r="O598" s="218">
        <v>3</v>
      </c>
      <c r="P598" s="208" t="s">
        <v>41</v>
      </c>
      <c r="Q598" s="240">
        <f t="shared" si="121"/>
        <v>3</v>
      </c>
      <c r="R598" s="239">
        <v>0</v>
      </c>
      <c r="S598" s="240">
        <f t="shared" si="123"/>
        <v>3</v>
      </c>
      <c r="T598" s="216" t="s">
        <v>48</v>
      </c>
      <c r="U598" s="196" t="str">
        <f t="shared" si="122"/>
        <v>3 Hrs</v>
      </c>
    </row>
    <row r="599" spans="3:21" s="185" customFormat="1" ht="20.25" customHeight="1">
      <c r="C599" s="198"/>
      <c r="D599" s="203">
        <f t="shared" si="130"/>
        <v>599</v>
      </c>
      <c r="E599" s="207" t="s">
        <v>607</v>
      </c>
      <c r="F599" s="211">
        <f t="shared" si="124"/>
        <v>598</v>
      </c>
      <c r="G599" s="206" t="s">
        <v>55</v>
      </c>
      <c r="H599" s="206"/>
      <c r="I599" s="208"/>
      <c r="J599" s="234" t="str">
        <f>J598</f>
        <v>1550 mm id</v>
      </c>
      <c r="K599" s="234">
        <v>1</v>
      </c>
      <c r="L599" s="208" t="s">
        <v>81</v>
      </c>
      <c r="M599" s="217">
        <v>1</v>
      </c>
      <c r="N599" s="208" t="s">
        <v>39</v>
      </c>
      <c r="O599" s="218">
        <v>4</v>
      </c>
      <c r="P599" s="208" t="s">
        <v>41</v>
      </c>
      <c r="Q599" s="240">
        <f t="shared" si="121"/>
        <v>4</v>
      </c>
      <c r="R599" s="239">
        <v>0</v>
      </c>
      <c r="S599" s="240">
        <f t="shared" si="123"/>
        <v>4</v>
      </c>
      <c r="T599" s="216" t="s">
        <v>48</v>
      </c>
      <c r="U599" s="196" t="str">
        <f t="shared" si="122"/>
        <v>4 Hrs</v>
      </c>
    </row>
    <row r="600" spans="3:21" s="185" customFormat="1" ht="20.25" customHeight="1">
      <c r="C600" s="198"/>
      <c r="D600" s="203">
        <f t="shared" si="130"/>
        <v>600</v>
      </c>
      <c r="E600" s="207" t="s">
        <v>608</v>
      </c>
      <c r="F600" s="211">
        <f t="shared" si="124"/>
        <v>599</v>
      </c>
      <c r="G600" s="206" t="s">
        <v>44</v>
      </c>
      <c r="H600" s="206"/>
      <c r="I600" s="208"/>
      <c r="J600" s="234" t="str">
        <f>J599</f>
        <v>1550 mm id</v>
      </c>
      <c r="K600" s="234">
        <v>1</v>
      </c>
      <c r="L600" s="208" t="s">
        <v>81</v>
      </c>
      <c r="M600" s="217">
        <v>1</v>
      </c>
      <c r="N600" s="208" t="s">
        <v>39</v>
      </c>
      <c r="O600" s="218">
        <v>0.5</v>
      </c>
      <c r="P600" s="208" t="s">
        <v>41</v>
      </c>
      <c r="Q600" s="240">
        <f t="shared" si="121"/>
        <v>0.5</v>
      </c>
      <c r="R600" s="239">
        <v>0</v>
      </c>
      <c r="S600" s="240">
        <f t="shared" si="123"/>
        <v>0.5</v>
      </c>
      <c r="T600" s="216" t="s">
        <v>48</v>
      </c>
      <c r="U600" s="196" t="str">
        <f t="shared" si="122"/>
        <v>0.5 Hrs</v>
      </c>
    </row>
    <row r="601" spans="3:21" s="185" customFormat="1" ht="20.25" customHeight="1">
      <c r="C601" s="198"/>
      <c r="D601" s="203">
        <f t="shared" si="130"/>
        <v>601</v>
      </c>
      <c r="E601" s="207" t="s">
        <v>609</v>
      </c>
      <c r="F601" s="211">
        <f t="shared" si="124"/>
        <v>600</v>
      </c>
      <c r="G601" s="206" t="s">
        <v>55</v>
      </c>
      <c r="H601" s="206"/>
      <c r="I601" s="224" t="s">
        <v>610</v>
      </c>
      <c r="J601" s="208" t="str">
        <f>J600</f>
        <v>1550 mm id</v>
      </c>
      <c r="K601" s="234">
        <v>72</v>
      </c>
      <c r="L601" s="208" t="s">
        <v>611</v>
      </c>
      <c r="M601" s="217">
        <v>1</v>
      </c>
      <c r="N601" s="208" t="s">
        <v>39</v>
      </c>
      <c r="O601" s="218">
        <v>4</v>
      </c>
      <c r="P601" s="208" t="s">
        <v>41</v>
      </c>
      <c r="Q601" s="240">
        <f t="shared" si="121"/>
        <v>4</v>
      </c>
      <c r="R601" s="239">
        <v>0</v>
      </c>
      <c r="S601" s="240">
        <f t="shared" si="123"/>
        <v>4</v>
      </c>
      <c r="T601" s="216" t="s">
        <v>48</v>
      </c>
      <c r="U601" s="196" t="str">
        <f t="shared" si="122"/>
        <v>4 Hrs</v>
      </c>
    </row>
    <row r="602" spans="3:21" s="185" customFormat="1" ht="20.25" customHeight="1">
      <c r="C602" s="198"/>
      <c r="D602" s="203">
        <f t="shared" si="130"/>
        <v>602</v>
      </c>
      <c r="E602" s="207" t="s">
        <v>612</v>
      </c>
      <c r="F602" s="211">
        <f t="shared" si="124"/>
        <v>601</v>
      </c>
      <c r="G602" s="206" t="s">
        <v>44</v>
      </c>
      <c r="H602" s="206"/>
      <c r="I602" s="224" t="s">
        <v>610</v>
      </c>
      <c r="J602" s="208" t="str">
        <f>J601</f>
        <v>1550 mm id</v>
      </c>
      <c r="K602" s="234">
        <v>1</v>
      </c>
      <c r="L602" s="208" t="s">
        <v>39</v>
      </c>
      <c r="M602" s="217">
        <v>1</v>
      </c>
      <c r="N602" s="208" t="s">
        <v>39</v>
      </c>
      <c r="O602" s="218">
        <v>1</v>
      </c>
      <c r="P602" s="208" t="s">
        <v>41</v>
      </c>
      <c r="Q602" s="240">
        <f t="shared" si="121"/>
        <v>1</v>
      </c>
      <c r="R602" s="239">
        <v>0</v>
      </c>
      <c r="S602" s="240">
        <f t="shared" si="123"/>
        <v>1</v>
      </c>
      <c r="T602" s="216" t="s">
        <v>48</v>
      </c>
      <c r="U602" s="196" t="str">
        <f t="shared" si="122"/>
        <v>1 Hrs</v>
      </c>
    </row>
    <row r="603" spans="3:21" s="185" customFormat="1" ht="20.25" customHeight="1">
      <c r="C603" s="198">
        <f t="shared" ref="C603:C604" si="131">D603</f>
        <v>603</v>
      </c>
      <c r="D603" s="203">
        <f t="shared" si="130"/>
        <v>603</v>
      </c>
      <c r="E603" s="209" t="s">
        <v>613</v>
      </c>
      <c r="F603" s="210"/>
      <c r="G603" s="206"/>
      <c r="H603" s="206"/>
      <c r="I603" s="208"/>
      <c r="J603" s="208"/>
      <c r="K603" s="234"/>
      <c r="L603" s="208"/>
      <c r="M603" s="217"/>
      <c r="N603" s="208"/>
      <c r="O603" s="218"/>
      <c r="P603" s="208"/>
      <c r="Q603" s="240"/>
      <c r="R603" s="239"/>
      <c r="S603" s="240"/>
      <c r="T603" s="216"/>
      <c r="U603" s="196"/>
    </row>
    <row r="604" spans="3:21" s="185" customFormat="1" ht="20.25" customHeight="1">
      <c r="C604" s="198">
        <f t="shared" si="131"/>
        <v>604</v>
      </c>
      <c r="D604" s="203">
        <f t="shared" si="130"/>
        <v>604</v>
      </c>
      <c r="E604" s="209" t="s">
        <v>614</v>
      </c>
      <c r="F604" s="210" t="str">
        <f>CONCATENATE(D46,",",D177)</f>
        <v>46,177</v>
      </c>
      <c r="G604" s="206"/>
      <c r="H604" s="206"/>
      <c r="I604" s="208"/>
      <c r="J604" s="208"/>
      <c r="K604" s="234"/>
      <c r="L604" s="208"/>
      <c r="M604" s="217"/>
      <c r="N604" s="208"/>
      <c r="O604" s="218"/>
      <c r="P604" s="208"/>
      <c r="Q604" s="240"/>
      <c r="R604" s="239"/>
      <c r="S604" s="240"/>
      <c r="T604" s="216"/>
      <c r="U604" s="196"/>
    </row>
    <row r="605" spans="3:21" s="185" customFormat="1" ht="20.25" customHeight="1">
      <c r="C605" s="198"/>
      <c r="D605" s="203">
        <f t="shared" si="130"/>
        <v>605</v>
      </c>
      <c r="E605" s="207" t="s">
        <v>615</v>
      </c>
      <c r="F605" s="211"/>
      <c r="G605" s="206" t="s">
        <v>616</v>
      </c>
      <c r="H605" s="206"/>
      <c r="I605" s="224" t="s">
        <v>617</v>
      </c>
      <c r="J605" s="234" t="s">
        <v>618</v>
      </c>
      <c r="K605" s="234"/>
      <c r="L605" s="208"/>
      <c r="M605" s="217">
        <v>1</v>
      </c>
      <c r="N605" s="208"/>
      <c r="O605" s="218">
        <v>1.5</v>
      </c>
      <c r="P605" s="208" t="s">
        <v>41</v>
      </c>
      <c r="Q605" s="240">
        <f t="shared" ref="Q605:Q642" si="132">M605*O605</f>
        <v>1.5</v>
      </c>
      <c r="R605" s="239">
        <v>0</v>
      </c>
      <c r="S605" s="240">
        <f t="shared" ref="S605:S668" si="133">ROUND(Q605+R605,2)</f>
        <v>1.5</v>
      </c>
      <c r="T605" s="216" t="s">
        <v>48</v>
      </c>
      <c r="U605" s="196" t="str">
        <f t="shared" ref="U605:U668" si="134">CONCATENATE(S605," ",T605)</f>
        <v>1.5 Hrs</v>
      </c>
    </row>
    <row r="606" spans="3:21" s="185" customFormat="1" ht="20.25" customHeight="1">
      <c r="C606" s="198"/>
      <c r="D606" s="203">
        <f t="shared" si="130"/>
        <v>606</v>
      </c>
      <c r="E606" s="207" t="s">
        <v>619</v>
      </c>
      <c r="F606" s="211">
        <f t="shared" ref="F606:F642" si="135">D605</f>
        <v>605</v>
      </c>
      <c r="G606" s="206" t="s">
        <v>620</v>
      </c>
      <c r="H606" s="206"/>
      <c r="I606" s="208"/>
      <c r="J606" s="234" t="s">
        <v>621</v>
      </c>
      <c r="K606" s="234">
        <v>1</v>
      </c>
      <c r="L606" s="208" t="s">
        <v>81</v>
      </c>
      <c r="M606" s="217">
        <v>19</v>
      </c>
      <c r="N606" s="208" t="s">
        <v>81</v>
      </c>
      <c r="O606" s="218">
        <v>0.5</v>
      </c>
      <c r="P606" s="208" t="s">
        <v>112</v>
      </c>
      <c r="Q606" s="240">
        <f t="shared" si="132"/>
        <v>9.5</v>
      </c>
      <c r="R606" s="239">
        <v>1</v>
      </c>
      <c r="S606" s="240">
        <f t="shared" si="133"/>
        <v>10.5</v>
      </c>
      <c r="T606" s="216" t="s">
        <v>48</v>
      </c>
      <c r="U606" s="196" t="str">
        <f t="shared" si="134"/>
        <v>10.5 Hrs</v>
      </c>
    </row>
    <row r="607" spans="3:21" s="185" customFormat="1" ht="20.25" customHeight="1">
      <c r="C607" s="198">
        <f>D607</f>
        <v>607</v>
      </c>
      <c r="D607" s="203">
        <f t="shared" si="130"/>
        <v>607</v>
      </c>
      <c r="E607" s="209" t="s">
        <v>622</v>
      </c>
      <c r="F607" s="210" t="str">
        <f>CONCATENATE(D604,",",412)</f>
        <v>604,412</v>
      </c>
      <c r="G607" s="206"/>
      <c r="H607" s="206"/>
      <c r="I607" s="208"/>
      <c r="J607" s="208"/>
      <c r="K607" s="234"/>
      <c r="L607" s="208"/>
      <c r="M607" s="217"/>
      <c r="N607" s="208"/>
      <c r="O607" s="218"/>
      <c r="P607" s="208"/>
      <c r="Q607" s="240"/>
      <c r="R607" s="239"/>
      <c r="S607" s="240"/>
      <c r="T607" s="216"/>
      <c r="U607" s="196"/>
    </row>
    <row r="608" spans="3:21" s="185" customFormat="1" ht="20.25" customHeight="1">
      <c r="C608" s="198"/>
      <c r="D608" s="203">
        <f t="shared" si="130"/>
        <v>608</v>
      </c>
      <c r="E608" s="207" t="s">
        <v>622</v>
      </c>
      <c r="F608" s="211"/>
      <c r="G608" s="206" t="s">
        <v>623</v>
      </c>
      <c r="H608" s="206"/>
      <c r="I608" s="224" t="s">
        <v>266</v>
      </c>
      <c r="J608" s="234" t="s">
        <v>624</v>
      </c>
      <c r="K608" s="234">
        <v>654</v>
      </c>
      <c r="L608" s="208" t="s">
        <v>81</v>
      </c>
      <c r="M608" s="235">
        <f>K608</f>
        <v>654</v>
      </c>
      <c r="N608" s="208" t="s">
        <v>81</v>
      </c>
      <c r="O608" s="246">
        <f>1/60*5</f>
        <v>8.3333333333333329E-2</v>
      </c>
      <c r="P608" s="208" t="s">
        <v>87</v>
      </c>
      <c r="Q608" s="240">
        <f t="shared" si="132"/>
        <v>54.5</v>
      </c>
      <c r="R608" s="239">
        <v>1</v>
      </c>
      <c r="S608" s="240">
        <f t="shared" si="133"/>
        <v>55.5</v>
      </c>
      <c r="T608" s="216" t="s">
        <v>48</v>
      </c>
      <c r="U608" s="196" t="str">
        <f t="shared" si="134"/>
        <v>55.5 Hrs</v>
      </c>
    </row>
    <row r="609" spans="3:21" s="185" customFormat="1" ht="20.25" customHeight="1">
      <c r="C609" s="198"/>
      <c r="D609" s="203">
        <f t="shared" si="130"/>
        <v>609</v>
      </c>
      <c r="E609" s="207" t="s">
        <v>625</v>
      </c>
      <c r="F609" s="211">
        <f t="shared" si="135"/>
        <v>608</v>
      </c>
      <c r="G609" s="206" t="s">
        <v>626</v>
      </c>
      <c r="H609" s="206"/>
      <c r="I609" s="224" t="s">
        <v>266</v>
      </c>
      <c r="J609" s="234" t="s">
        <v>627</v>
      </c>
      <c r="K609" s="234">
        <v>14</v>
      </c>
      <c r="L609" s="208" t="s">
        <v>81</v>
      </c>
      <c r="M609" s="235">
        <f>K609</f>
        <v>14</v>
      </c>
      <c r="N609" s="208" t="s">
        <v>81</v>
      </c>
      <c r="O609" s="246">
        <v>0.5</v>
      </c>
      <c r="P609" s="208" t="s">
        <v>87</v>
      </c>
      <c r="Q609" s="240">
        <f t="shared" si="132"/>
        <v>7</v>
      </c>
      <c r="R609" s="239">
        <v>1</v>
      </c>
      <c r="S609" s="240">
        <f t="shared" si="133"/>
        <v>8</v>
      </c>
      <c r="T609" s="216" t="s">
        <v>48</v>
      </c>
      <c r="U609" s="196" t="str">
        <f t="shared" si="134"/>
        <v>8 Hrs</v>
      </c>
    </row>
    <row r="610" spans="3:21" s="185" customFormat="1" ht="20.25" customHeight="1">
      <c r="C610" s="198"/>
      <c r="D610" s="203">
        <f t="shared" si="130"/>
        <v>610</v>
      </c>
      <c r="E610" s="207" t="s">
        <v>622</v>
      </c>
      <c r="F610" s="211">
        <f t="shared" si="135"/>
        <v>609</v>
      </c>
      <c r="G610" s="206" t="s">
        <v>623</v>
      </c>
      <c r="H610" s="206"/>
      <c r="I610" s="224" t="s">
        <v>266</v>
      </c>
      <c r="J610" s="208" t="str">
        <f>J608</f>
        <v>7000 lg</v>
      </c>
      <c r="K610" s="234">
        <v>654</v>
      </c>
      <c r="L610" s="208" t="s">
        <v>81</v>
      </c>
      <c r="M610" s="235">
        <f>K610</f>
        <v>654</v>
      </c>
      <c r="N610" s="208" t="s">
        <v>81</v>
      </c>
      <c r="O610" s="246">
        <f>1/60*5</f>
        <v>8.3333333333333329E-2</v>
      </c>
      <c r="P610" s="208" t="s">
        <v>87</v>
      </c>
      <c r="Q610" s="240">
        <f t="shared" si="132"/>
        <v>54.5</v>
      </c>
      <c r="R610" s="239">
        <v>1</v>
      </c>
      <c r="S610" s="240">
        <f t="shared" si="133"/>
        <v>55.5</v>
      </c>
      <c r="T610" s="216" t="s">
        <v>48</v>
      </c>
      <c r="U610" s="196" t="str">
        <f t="shared" si="134"/>
        <v>55.5 Hrs</v>
      </c>
    </row>
    <row r="611" spans="3:21" s="185" customFormat="1" ht="20.25" customHeight="1">
      <c r="C611" s="198">
        <f>D611</f>
        <v>611</v>
      </c>
      <c r="D611" s="203">
        <f t="shared" si="130"/>
        <v>611</v>
      </c>
      <c r="E611" s="209" t="s">
        <v>628</v>
      </c>
      <c r="F611" s="210">
        <f>D607</f>
        <v>607</v>
      </c>
      <c r="G611" s="206"/>
      <c r="H611" s="206"/>
      <c r="I611" s="208"/>
      <c r="J611" s="208"/>
      <c r="K611" s="234"/>
      <c r="L611" s="208"/>
      <c r="M611" s="217"/>
      <c r="N611" s="208"/>
      <c r="O611" s="218"/>
      <c r="P611" s="208"/>
      <c r="Q611" s="240"/>
      <c r="R611" s="239"/>
      <c r="S611" s="240"/>
      <c r="T611" s="216"/>
      <c r="U611" s="196"/>
    </row>
    <row r="612" spans="3:21" s="185" customFormat="1" ht="20.25" customHeight="1">
      <c r="C612" s="198"/>
      <c r="D612" s="203">
        <f t="shared" si="130"/>
        <v>612</v>
      </c>
      <c r="E612" s="207" t="s">
        <v>629</v>
      </c>
      <c r="F612" s="211"/>
      <c r="G612" s="206" t="s">
        <v>44</v>
      </c>
      <c r="H612" s="206"/>
      <c r="I612" s="224">
        <v>8</v>
      </c>
      <c r="J612" s="234" t="s">
        <v>630</v>
      </c>
      <c r="K612" s="234">
        <v>2</v>
      </c>
      <c r="L612" s="208" t="s">
        <v>81</v>
      </c>
      <c r="M612" s="217">
        <v>2</v>
      </c>
      <c r="N612" s="208" t="s">
        <v>81</v>
      </c>
      <c r="O612" s="246">
        <v>3</v>
      </c>
      <c r="P612" s="208" t="s">
        <v>87</v>
      </c>
      <c r="Q612" s="240">
        <f t="shared" si="132"/>
        <v>6</v>
      </c>
      <c r="R612" s="239">
        <v>1</v>
      </c>
      <c r="S612" s="240">
        <f t="shared" si="133"/>
        <v>7</v>
      </c>
      <c r="T612" s="216" t="s">
        <v>48</v>
      </c>
      <c r="U612" s="196" t="str">
        <f t="shared" si="134"/>
        <v>7 Hrs</v>
      </c>
    </row>
    <row r="613" spans="3:21" s="185" customFormat="1" ht="20.25" customHeight="1">
      <c r="C613" s="198"/>
      <c r="D613" s="203">
        <f t="shared" si="130"/>
        <v>613</v>
      </c>
      <c r="E613" s="207" t="s">
        <v>631</v>
      </c>
      <c r="F613" s="211">
        <f t="shared" si="135"/>
        <v>612</v>
      </c>
      <c r="G613" s="206" t="s">
        <v>115</v>
      </c>
      <c r="H613" s="206"/>
      <c r="I613" s="224">
        <v>8</v>
      </c>
      <c r="J613" s="234" t="s">
        <v>632</v>
      </c>
      <c r="K613" s="234">
        <v>1</v>
      </c>
      <c r="L613" s="208" t="s">
        <v>84</v>
      </c>
      <c r="M613" s="227" t="str">
        <f>LEFT(J613,SEARCH(" ",J613,1)-1)</f>
        <v>60</v>
      </c>
      <c r="N613" s="208" t="s">
        <v>633</v>
      </c>
      <c r="O613" s="246">
        <v>0.25</v>
      </c>
      <c r="P613" s="208" t="s">
        <v>87</v>
      </c>
      <c r="Q613" s="240">
        <f t="shared" si="132"/>
        <v>15</v>
      </c>
      <c r="R613" s="239">
        <v>1</v>
      </c>
      <c r="S613" s="240">
        <f t="shared" si="133"/>
        <v>16</v>
      </c>
      <c r="T613" s="216" t="s">
        <v>48</v>
      </c>
      <c r="U613" s="196" t="str">
        <f t="shared" si="134"/>
        <v>16 Hrs</v>
      </c>
    </row>
    <row r="614" spans="3:21" s="185" customFormat="1" ht="20.25" customHeight="1">
      <c r="C614" s="198"/>
      <c r="D614" s="203">
        <f t="shared" si="130"/>
        <v>614</v>
      </c>
      <c r="E614" s="207" t="s">
        <v>634</v>
      </c>
      <c r="F614" s="211">
        <f t="shared" si="135"/>
        <v>613</v>
      </c>
      <c r="G614" s="206" t="s">
        <v>61</v>
      </c>
      <c r="H614" s="206"/>
      <c r="I614" s="224">
        <v>1500</v>
      </c>
      <c r="J614" s="208" t="str">
        <f>J613</f>
        <v>60 joints</v>
      </c>
      <c r="K614" s="234">
        <v>1</v>
      </c>
      <c r="L614" s="208" t="s">
        <v>84</v>
      </c>
      <c r="M614" s="227" t="str">
        <f>LEFT(J614,SEARCH(" ",J614,1)-1)</f>
        <v>60</v>
      </c>
      <c r="N614" s="208" t="s">
        <v>633</v>
      </c>
      <c r="O614" s="246">
        <f>VLOOKUP(I614,BM!$A$2:$X$104,9,FALSE)</f>
        <v>0.25</v>
      </c>
      <c r="P614" s="208" t="s">
        <v>87</v>
      </c>
      <c r="Q614" s="240">
        <f t="shared" si="132"/>
        <v>15</v>
      </c>
      <c r="R614" s="239">
        <v>1</v>
      </c>
      <c r="S614" s="240">
        <f t="shared" si="133"/>
        <v>16</v>
      </c>
      <c r="T614" s="216" t="s">
        <v>48</v>
      </c>
      <c r="U614" s="196" t="str">
        <f t="shared" si="134"/>
        <v>16 Hrs</v>
      </c>
    </row>
    <row r="615" spans="3:21" s="185" customFormat="1" ht="20.25" customHeight="1">
      <c r="C615" s="198">
        <f>D615</f>
        <v>615</v>
      </c>
      <c r="D615" s="203">
        <f t="shared" si="130"/>
        <v>615</v>
      </c>
      <c r="E615" s="209" t="s">
        <v>635</v>
      </c>
      <c r="F615" s="210">
        <f>D611</f>
        <v>611</v>
      </c>
      <c r="G615" s="206"/>
      <c r="H615" s="206"/>
      <c r="I615" s="208"/>
      <c r="J615" s="208"/>
      <c r="K615" s="234"/>
      <c r="L615" s="208"/>
      <c r="M615" s="217"/>
      <c r="N615" s="208"/>
      <c r="O615" s="218"/>
      <c r="P615" s="208"/>
      <c r="Q615" s="240"/>
      <c r="R615" s="239"/>
      <c r="S615" s="240"/>
      <c r="T615" s="216"/>
      <c r="U615" s="196"/>
    </row>
    <row r="616" spans="3:21" s="185" customFormat="1" ht="20.25" customHeight="1">
      <c r="C616" s="198"/>
      <c r="D616" s="203">
        <f t="shared" si="130"/>
        <v>616</v>
      </c>
      <c r="E616" s="207" t="s">
        <v>636</v>
      </c>
      <c r="F616" s="211"/>
      <c r="G616" s="206" t="s">
        <v>637</v>
      </c>
      <c r="H616" s="206"/>
      <c r="I616" s="208"/>
      <c r="J616" s="234" t="s">
        <v>638</v>
      </c>
      <c r="K616" s="234">
        <v>1</v>
      </c>
      <c r="L616" s="208" t="s">
        <v>81</v>
      </c>
      <c r="M616" s="217">
        <v>1</v>
      </c>
      <c r="N616" s="208" t="s">
        <v>81</v>
      </c>
      <c r="O616" s="218">
        <v>16</v>
      </c>
      <c r="P616" s="208" t="s">
        <v>87</v>
      </c>
      <c r="Q616" s="240">
        <f t="shared" si="132"/>
        <v>16</v>
      </c>
      <c r="R616" s="239">
        <v>1</v>
      </c>
      <c r="S616" s="240">
        <f t="shared" si="133"/>
        <v>17</v>
      </c>
      <c r="T616" s="216" t="s">
        <v>48</v>
      </c>
      <c r="U616" s="196" t="str">
        <f t="shared" si="134"/>
        <v>17 Hrs</v>
      </c>
    </row>
    <row r="617" spans="3:21" s="185" customFormat="1" ht="20.25" customHeight="1">
      <c r="C617" s="198"/>
      <c r="D617" s="203">
        <f t="shared" si="130"/>
        <v>617</v>
      </c>
      <c r="E617" s="207" t="s">
        <v>639</v>
      </c>
      <c r="F617" s="211" t="str">
        <f>CONCATENATE(D616,",",D56)</f>
        <v>616,56</v>
      </c>
      <c r="G617" s="206" t="s">
        <v>640</v>
      </c>
      <c r="H617" s="206"/>
      <c r="I617" s="224" t="s">
        <v>641</v>
      </c>
      <c r="J617" s="208"/>
      <c r="K617" s="234">
        <v>1</v>
      </c>
      <c r="L617" s="208" t="s">
        <v>81</v>
      </c>
      <c r="M617" s="217">
        <v>1</v>
      </c>
      <c r="N617" s="208" t="s">
        <v>81</v>
      </c>
      <c r="O617" s="218">
        <v>4</v>
      </c>
      <c r="P617" s="208" t="s">
        <v>87</v>
      </c>
      <c r="Q617" s="240">
        <f t="shared" si="132"/>
        <v>4</v>
      </c>
      <c r="R617" s="239">
        <v>1</v>
      </c>
      <c r="S617" s="240">
        <f t="shared" si="133"/>
        <v>5</v>
      </c>
      <c r="T617" s="216" t="s">
        <v>48</v>
      </c>
      <c r="U617" s="196" t="str">
        <f t="shared" si="134"/>
        <v>5 Hrs</v>
      </c>
    </row>
    <row r="618" spans="3:21" s="185" customFormat="1" ht="20.25" customHeight="1">
      <c r="C618" s="198"/>
      <c r="D618" s="203">
        <f t="shared" si="130"/>
        <v>618</v>
      </c>
      <c r="E618" s="207" t="s">
        <v>642</v>
      </c>
      <c r="F618" s="211">
        <f t="shared" si="135"/>
        <v>617</v>
      </c>
      <c r="G618" s="206" t="s">
        <v>643</v>
      </c>
      <c r="H618" s="206"/>
      <c r="I618" s="224" t="s">
        <v>644</v>
      </c>
      <c r="J618" s="234">
        <v>1490</v>
      </c>
      <c r="K618" s="234">
        <v>1</v>
      </c>
      <c r="L618" s="208" t="s">
        <v>81</v>
      </c>
      <c r="M618" s="217">
        <v>56</v>
      </c>
      <c r="N618" s="208" t="s">
        <v>645</v>
      </c>
      <c r="O618" s="246">
        <f>1/60*10</f>
        <v>0.16666666666666666</v>
      </c>
      <c r="P618" s="208" t="s">
        <v>112</v>
      </c>
      <c r="Q618" s="240">
        <f t="shared" si="132"/>
        <v>9.3333333333333321</v>
      </c>
      <c r="R618" s="239">
        <v>1</v>
      </c>
      <c r="S618" s="240">
        <f t="shared" si="133"/>
        <v>10.33</v>
      </c>
      <c r="T618" s="216" t="s">
        <v>48</v>
      </c>
      <c r="U618" s="196" t="str">
        <f t="shared" si="134"/>
        <v>10.33 Hrs</v>
      </c>
    </row>
    <row r="619" spans="3:21" s="185" customFormat="1" ht="20.25" customHeight="1">
      <c r="C619" s="198">
        <f>D619</f>
        <v>619</v>
      </c>
      <c r="D619" s="203">
        <f t="shared" si="130"/>
        <v>619</v>
      </c>
      <c r="E619" s="209" t="s">
        <v>646</v>
      </c>
      <c r="F619" s="210">
        <f>D615</f>
        <v>615</v>
      </c>
      <c r="G619" s="206"/>
      <c r="H619" s="206"/>
      <c r="I619" s="208"/>
      <c r="J619" s="208"/>
      <c r="K619" s="234"/>
      <c r="L619" s="208"/>
      <c r="M619" s="217"/>
      <c r="N619" s="208"/>
      <c r="O619" s="218"/>
      <c r="P619" s="208"/>
      <c r="Q619" s="240"/>
      <c r="R619" s="239"/>
      <c r="S619" s="240"/>
      <c r="T619" s="216"/>
      <c r="U619" s="196"/>
    </row>
    <row r="620" spans="3:21" s="185" customFormat="1" ht="20.25" customHeight="1">
      <c r="C620" s="198"/>
      <c r="D620" s="203">
        <f t="shared" si="130"/>
        <v>620</v>
      </c>
      <c r="E620" s="207" t="s">
        <v>647</v>
      </c>
      <c r="F620" s="211"/>
      <c r="G620" s="206" t="s">
        <v>201</v>
      </c>
      <c r="H620" s="206"/>
      <c r="I620" s="224" t="s">
        <v>648</v>
      </c>
      <c r="J620" s="234" t="s">
        <v>649</v>
      </c>
      <c r="K620" s="234">
        <v>1308</v>
      </c>
      <c r="L620" s="208" t="s">
        <v>81</v>
      </c>
      <c r="M620" s="227" t="str">
        <f>LEFT(J620,SEARCH(" ",J620,1)-1)</f>
        <v>1308</v>
      </c>
      <c r="N620" s="208" t="s">
        <v>650</v>
      </c>
      <c r="O620" s="246">
        <f>1/60*1</f>
        <v>1.6666666666666666E-2</v>
      </c>
      <c r="P620" s="208" t="s">
        <v>112</v>
      </c>
      <c r="Q620" s="240">
        <f t="shared" si="132"/>
        <v>21.8</v>
      </c>
      <c r="R620" s="239">
        <v>1</v>
      </c>
      <c r="S620" s="240">
        <f t="shared" si="133"/>
        <v>22.8</v>
      </c>
      <c r="T620" s="216" t="s">
        <v>48</v>
      </c>
      <c r="U620" s="196" t="str">
        <f t="shared" si="134"/>
        <v>22.8 Hrs</v>
      </c>
    </row>
    <row r="621" spans="3:21" s="185" customFormat="1" ht="20.25" customHeight="1">
      <c r="C621" s="198"/>
      <c r="D621" s="203">
        <f t="shared" si="130"/>
        <v>621</v>
      </c>
      <c r="E621" s="207" t="s">
        <v>651</v>
      </c>
      <c r="F621" s="211">
        <f t="shared" si="135"/>
        <v>620</v>
      </c>
      <c r="G621" s="206" t="s">
        <v>201</v>
      </c>
      <c r="H621" s="206"/>
      <c r="I621" s="224" t="s">
        <v>652</v>
      </c>
      <c r="J621" s="234" t="s">
        <v>649</v>
      </c>
      <c r="K621" s="234">
        <v>1308</v>
      </c>
      <c r="L621" s="208" t="s">
        <v>81</v>
      </c>
      <c r="M621" s="227" t="str">
        <f>LEFT(J621,SEARCH(" ",J621,1)-1)</f>
        <v>1308</v>
      </c>
      <c r="N621" s="208" t="s">
        <v>650</v>
      </c>
      <c r="O621" s="246">
        <f>1/60*0.5</f>
        <v>8.3333333333333332E-3</v>
      </c>
      <c r="P621" s="208" t="s">
        <v>112</v>
      </c>
      <c r="Q621" s="240">
        <f t="shared" si="132"/>
        <v>10.9</v>
      </c>
      <c r="R621" s="239">
        <v>1</v>
      </c>
      <c r="S621" s="240">
        <f t="shared" si="133"/>
        <v>11.9</v>
      </c>
      <c r="T621" s="216" t="s">
        <v>48</v>
      </c>
      <c r="U621" s="196" t="str">
        <f t="shared" si="134"/>
        <v>11.9 Hrs</v>
      </c>
    </row>
    <row r="622" spans="3:21" s="185" customFormat="1" ht="20.25" customHeight="1">
      <c r="C622" s="198"/>
      <c r="D622" s="203">
        <f t="shared" si="130"/>
        <v>622</v>
      </c>
      <c r="E622" s="207" t="s">
        <v>653</v>
      </c>
      <c r="F622" s="211">
        <f t="shared" si="135"/>
        <v>621</v>
      </c>
      <c r="G622" s="206" t="s">
        <v>44</v>
      </c>
      <c r="H622" s="206"/>
      <c r="I622" s="224" t="s">
        <v>652</v>
      </c>
      <c r="J622" s="234" t="s">
        <v>649</v>
      </c>
      <c r="K622" s="234">
        <v>1308</v>
      </c>
      <c r="L622" s="208" t="s">
        <v>81</v>
      </c>
      <c r="M622" s="227" t="str">
        <f>LEFT(J622,SEARCH(" ",J622,1)-1)</f>
        <v>1308</v>
      </c>
      <c r="N622" s="208" t="s">
        <v>654</v>
      </c>
      <c r="O622" s="246">
        <f>1/60*2</f>
        <v>3.3333333333333333E-2</v>
      </c>
      <c r="P622" s="208" t="s">
        <v>112</v>
      </c>
      <c r="Q622" s="240">
        <f t="shared" si="132"/>
        <v>43.6</v>
      </c>
      <c r="R622" s="239">
        <v>1</v>
      </c>
      <c r="S622" s="240">
        <f t="shared" si="133"/>
        <v>44.6</v>
      </c>
      <c r="T622" s="216" t="s">
        <v>48</v>
      </c>
      <c r="U622" s="196" t="str">
        <f t="shared" si="134"/>
        <v>44.6 Hrs</v>
      </c>
    </row>
    <row r="623" spans="3:21" s="185" customFormat="1" ht="20.25" customHeight="1">
      <c r="C623" s="198"/>
      <c r="D623" s="203">
        <f t="shared" si="130"/>
        <v>623</v>
      </c>
      <c r="E623" s="207" t="s">
        <v>655</v>
      </c>
      <c r="F623" s="211">
        <f t="shared" si="135"/>
        <v>622</v>
      </c>
      <c r="G623" s="206" t="s">
        <v>656</v>
      </c>
      <c r="H623" s="206"/>
      <c r="I623" s="224" t="s">
        <v>657</v>
      </c>
      <c r="J623" s="234" t="s">
        <v>658</v>
      </c>
      <c r="K623" s="225">
        <v>2616</v>
      </c>
      <c r="L623" s="208" t="s">
        <v>81</v>
      </c>
      <c r="M623" s="227" t="str">
        <f>LEFT(J623,SEARCH(" ",J623,1)-1)</f>
        <v>2616</v>
      </c>
      <c r="N623" s="208" t="s">
        <v>650</v>
      </c>
      <c r="O623" s="246">
        <f>1/60*0.5</f>
        <v>8.3333333333333332E-3</v>
      </c>
      <c r="P623" s="208" t="s">
        <v>112</v>
      </c>
      <c r="Q623" s="240">
        <f t="shared" si="132"/>
        <v>21.8</v>
      </c>
      <c r="R623" s="239">
        <v>1</v>
      </c>
      <c r="S623" s="240">
        <f t="shared" si="133"/>
        <v>22.8</v>
      </c>
      <c r="T623" s="216" t="s">
        <v>48</v>
      </c>
      <c r="U623" s="196" t="str">
        <f t="shared" si="134"/>
        <v>22.8 Hrs</v>
      </c>
    </row>
    <row r="624" spans="3:21" s="185" customFormat="1" ht="20.25" customHeight="1">
      <c r="C624" s="198">
        <f>D624</f>
        <v>624</v>
      </c>
      <c r="D624" s="203">
        <f t="shared" si="130"/>
        <v>624</v>
      </c>
      <c r="E624" s="209" t="s">
        <v>659</v>
      </c>
      <c r="F624" s="210">
        <f>D619</f>
        <v>619</v>
      </c>
      <c r="G624" s="206"/>
      <c r="H624" s="206"/>
      <c r="I624" s="208"/>
      <c r="J624" s="208"/>
      <c r="K624" s="234"/>
      <c r="L624" s="208"/>
      <c r="M624" s="217"/>
      <c r="N624" s="208"/>
      <c r="O624" s="218"/>
      <c r="P624" s="208"/>
      <c r="Q624" s="240"/>
      <c r="R624" s="239"/>
      <c r="S624" s="240"/>
      <c r="T624" s="216"/>
      <c r="U624" s="196"/>
    </row>
    <row r="625" spans="3:21" s="185" customFormat="1" ht="20.25" customHeight="1">
      <c r="C625" s="198"/>
      <c r="D625" s="203">
        <f t="shared" si="130"/>
        <v>625</v>
      </c>
      <c r="E625" s="207" t="s">
        <v>660</v>
      </c>
      <c r="F625" s="211"/>
      <c r="G625" s="206" t="s">
        <v>656</v>
      </c>
      <c r="H625" s="206"/>
      <c r="I625" s="208"/>
      <c r="J625" s="208"/>
      <c r="K625" s="234">
        <v>1</v>
      </c>
      <c r="L625" s="208" t="s">
        <v>39</v>
      </c>
      <c r="M625" s="217">
        <v>1</v>
      </c>
      <c r="N625" s="208" t="s">
        <v>661</v>
      </c>
      <c r="O625" s="218">
        <v>4</v>
      </c>
      <c r="P625" s="208" t="s">
        <v>112</v>
      </c>
      <c r="Q625" s="240">
        <f t="shared" si="132"/>
        <v>4</v>
      </c>
      <c r="R625" s="239">
        <v>1</v>
      </c>
      <c r="S625" s="240">
        <f t="shared" si="133"/>
        <v>5</v>
      </c>
      <c r="T625" s="216" t="s">
        <v>48</v>
      </c>
      <c r="U625" s="196" t="str">
        <f t="shared" si="134"/>
        <v>5 Hrs</v>
      </c>
    </row>
    <row r="626" spans="3:21" s="185" customFormat="1" ht="20.25" customHeight="1">
      <c r="C626" s="198"/>
      <c r="D626" s="203">
        <f t="shared" si="130"/>
        <v>626</v>
      </c>
      <c r="E626" s="207" t="s">
        <v>662</v>
      </c>
      <c r="F626" s="211">
        <f t="shared" si="135"/>
        <v>625</v>
      </c>
      <c r="G626" s="206" t="s">
        <v>44</v>
      </c>
      <c r="H626" s="206"/>
      <c r="I626" s="208"/>
      <c r="J626" s="208"/>
      <c r="K626" s="234">
        <v>1</v>
      </c>
      <c r="L626" s="208" t="s">
        <v>39</v>
      </c>
      <c r="M626" s="217">
        <v>1</v>
      </c>
      <c r="N626" s="208" t="s">
        <v>661</v>
      </c>
      <c r="O626" s="218">
        <v>1</v>
      </c>
      <c r="P626" s="208" t="s">
        <v>41</v>
      </c>
      <c r="Q626" s="240">
        <f t="shared" si="132"/>
        <v>1</v>
      </c>
      <c r="R626" s="239"/>
      <c r="S626" s="240">
        <f t="shared" si="133"/>
        <v>1</v>
      </c>
      <c r="T626" s="216" t="s">
        <v>48</v>
      </c>
      <c r="U626" s="196" t="str">
        <f t="shared" si="134"/>
        <v>1 Hrs</v>
      </c>
    </row>
    <row r="627" spans="3:21" s="185" customFormat="1" ht="20.25" customHeight="1">
      <c r="C627" s="198"/>
      <c r="D627" s="203">
        <f t="shared" si="130"/>
        <v>627</v>
      </c>
      <c r="E627" s="207" t="s">
        <v>663</v>
      </c>
      <c r="F627" s="211">
        <f t="shared" si="135"/>
        <v>626</v>
      </c>
      <c r="G627" s="206" t="s">
        <v>224</v>
      </c>
      <c r="H627" s="206"/>
      <c r="I627" s="208"/>
      <c r="J627" s="208"/>
      <c r="K627" s="234">
        <v>1</v>
      </c>
      <c r="L627" s="208" t="s">
        <v>39</v>
      </c>
      <c r="M627" s="217">
        <v>1</v>
      </c>
      <c r="N627" s="208" t="s">
        <v>39</v>
      </c>
      <c r="O627" s="218">
        <v>1</v>
      </c>
      <c r="P627" s="208" t="s">
        <v>162</v>
      </c>
      <c r="Q627" s="240">
        <f t="shared" si="132"/>
        <v>1</v>
      </c>
      <c r="R627" s="239"/>
      <c r="S627" s="240">
        <f t="shared" si="133"/>
        <v>1</v>
      </c>
      <c r="T627" s="216" t="s">
        <v>48</v>
      </c>
      <c r="U627" s="196" t="str">
        <f t="shared" si="134"/>
        <v>1 Hrs</v>
      </c>
    </row>
    <row r="628" spans="3:21" s="185" customFormat="1" ht="20.25" customHeight="1">
      <c r="C628" s="198">
        <f>D628</f>
        <v>628</v>
      </c>
      <c r="D628" s="203">
        <f t="shared" si="130"/>
        <v>628</v>
      </c>
      <c r="E628" s="209" t="s">
        <v>664</v>
      </c>
      <c r="F628" s="210">
        <f>D624</f>
        <v>624</v>
      </c>
      <c r="G628" s="206"/>
      <c r="H628" s="206"/>
      <c r="I628" s="208"/>
      <c r="J628" s="208"/>
      <c r="K628" s="234"/>
      <c r="L628" s="208"/>
      <c r="M628" s="217"/>
      <c r="N628" s="208"/>
      <c r="O628" s="218"/>
      <c r="P628" s="208"/>
      <c r="Q628" s="240"/>
      <c r="R628" s="239"/>
      <c r="S628" s="240"/>
      <c r="T628" s="216"/>
      <c r="U628" s="196"/>
    </row>
    <row r="629" spans="3:21" s="185" customFormat="1" ht="20.25" customHeight="1">
      <c r="C629" s="198"/>
      <c r="D629" s="203">
        <f t="shared" si="130"/>
        <v>629</v>
      </c>
      <c r="E629" s="207" t="s">
        <v>665</v>
      </c>
      <c r="F629" s="211"/>
      <c r="G629" s="206" t="s">
        <v>666</v>
      </c>
      <c r="H629" s="206"/>
      <c r="I629" s="224">
        <v>2.77</v>
      </c>
      <c r="J629" s="234" t="s">
        <v>667</v>
      </c>
      <c r="K629" s="234">
        <v>1308</v>
      </c>
      <c r="L629" s="208" t="s">
        <v>81</v>
      </c>
      <c r="M629" s="235">
        <f>K629</f>
        <v>1308</v>
      </c>
      <c r="N629" s="208" t="s">
        <v>668</v>
      </c>
      <c r="O629" s="246">
        <f>1/60*5</f>
        <v>8.3333333333333329E-2</v>
      </c>
      <c r="P629" s="208" t="s">
        <v>112</v>
      </c>
      <c r="Q629" s="240">
        <f t="shared" si="132"/>
        <v>109</v>
      </c>
      <c r="R629" s="239">
        <v>1</v>
      </c>
      <c r="S629" s="240">
        <f t="shared" si="133"/>
        <v>110</v>
      </c>
      <c r="T629" s="216" t="s">
        <v>48</v>
      </c>
      <c r="U629" s="196" t="str">
        <f t="shared" si="134"/>
        <v>110 Hrs</v>
      </c>
    </row>
    <row r="630" spans="3:21" s="185" customFormat="1" ht="20.25" customHeight="1">
      <c r="C630" s="198"/>
      <c r="D630" s="203">
        <f t="shared" si="130"/>
        <v>630</v>
      </c>
      <c r="E630" s="207" t="s">
        <v>669</v>
      </c>
      <c r="F630" s="211">
        <f t="shared" si="135"/>
        <v>629</v>
      </c>
      <c r="G630" s="206" t="s">
        <v>44</v>
      </c>
      <c r="H630" s="206"/>
      <c r="I630" s="224">
        <v>2.77</v>
      </c>
      <c r="J630" s="208"/>
      <c r="K630" s="234">
        <v>1308</v>
      </c>
      <c r="L630" s="208" t="s">
        <v>81</v>
      </c>
      <c r="M630" s="217">
        <v>1</v>
      </c>
      <c r="N630" s="208" t="s">
        <v>39</v>
      </c>
      <c r="O630" s="218">
        <v>8</v>
      </c>
      <c r="P630" s="208" t="s">
        <v>112</v>
      </c>
      <c r="Q630" s="240">
        <f t="shared" si="132"/>
        <v>8</v>
      </c>
      <c r="R630" s="239">
        <v>1</v>
      </c>
      <c r="S630" s="240">
        <f t="shared" si="133"/>
        <v>9</v>
      </c>
      <c r="T630" s="216" t="s">
        <v>48</v>
      </c>
      <c r="U630" s="196" t="str">
        <f t="shared" si="134"/>
        <v>9 Hrs</v>
      </c>
    </row>
    <row r="631" spans="3:21" s="185" customFormat="1" ht="20.25" customHeight="1">
      <c r="C631" s="198"/>
      <c r="D631" s="203">
        <f t="shared" si="130"/>
        <v>631</v>
      </c>
      <c r="E631" s="207" t="s">
        <v>670</v>
      </c>
      <c r="F631" s="211">
        <f t="shared" si="135"/>
        <v>630</v>
      </c>
      <c r="G631" s="206" t="s">
        <v>666</v>
      </c>
      <c r="H631" s="206"/>
      <c r="I631" s="224">
        <v>2.77</v>
      </c>
      <c r="J631" s="208"/>
      <c r="K631" s="234">
        <v>1308</v>
      </c>
      <c r="L631" s="208" t="s">
        <v>81</v>
      </c>
      <c r="M631" s="235">
        <f>K631</f>
        <v>1308</v>
      </c>
      <c r="N631" s="208" t="s">
        <v>668</v>
      </c>
      <c r="O631" s="246">
        <f>1/60*5</f>
        <v>8.3333333333333329E-2</v>
      </c>
      <c r="P631" s="208" t="s">
        <v>112</v>
      </c>
      <c r="Q631" s="240">
        <f t="shared" si="132"/>
        <v>109</v>
      </c>
      <c r="R631" s="239">
        <v>1</v>
      </c>
      <c r="S631" s="240">
        <f t="shared" si="133"/>
        <v>110</v>
      </c>
      <c r="T631" s="216" t="s">
        <v>48</v>
      </c>
      <c r="U631" s="196" t="str">
        <f t="shared" si="134"/>
        <v>110 Hrs</v>
      </c>
    </row>
    <row r="632" spans="3:21" s="185" customFormat="1" ht="20.25" customHeight="1">
      <c r="C632" s="198"/>
      <c r="D632" s="203">
        <f t="shared" si="130"/>
        <v>632</v>
      </c>
      <c r="E632" s="207" t="s">
        <v>671</v>
      </c>
      <c r="F632" s="211">
        <f t="shared" si="135"/>
        <v>631</v>
      </c>
      <c r="G632" s="206" t="s">
        <v>44</v>
      </c>
      <c r="H632" s="206"/>
      <c r="I632" s="224">
        <v>2.77</v>
      </c>
      <c r="J632" s="208"/>
      <c r="K632" s="234">
        <v>1308</v>
      </c>
      <c r="L632" s="208" t="s">
        <v>81</v>
      </c>
      <c r="M632" s="217">
        <v>1</v>
      </c>
      <c r="N632" s="208" t="s">
        <v>39</v>
      </c>
      <c r="O632" s="218">
        <v>8</v>
      </c>
      <c r="P632" s="208" t="s">
        <v>112</v>
      </c>
      <c r="Q632" s="240">
        <f t="shared" si="132"/>
        <v>8</v>
      </c>
      <c r="R632" s="239">
        <v>1</v>
      </c>
      <c r="S632" s="240">
        <f t="shared" si="133"/>
        <v>9</v>
      </c>
      <c r="T632" s="216" t="s">
        <v>48</v>
      </c>
      <c r="U632" s="196" t="str">
        <f t="shared" si="134"/>
        <v>9 Hrs</v>
      </c>
    </row>
    <row r="633" spans="3:21" s="185" customFormat="1" ht="20.25" customHeight="1">
      <c r="C633" s="198">
        <f>D633</f>
        <v>633</v>
      </c>
      <c r="D633" s="203">
        <f t="shared" si="130"/>
        <v>633</v>
      </c>
      <c r="E633" s="209" t="s">
        <v>672</v>
      </c>
      <c r="F633" s="210">
        <f>D628</f>
        <v>628</v>
      </c>
      <c r="G633" s="206"/>
      <c r="H633" s="206"/>
      <c r="I633" s="208"/>
      <c r="J633" s="208"/>
      <c r="K633" s="234"/>
      <c r="L633" s="208"/>
      <c r="M633" s="217"/>
      <c r="N633" s="208"/>
      <c r="O633" s="218"/>
      <c r="P633" s="208"/>
      <c r="Q633" s="240"/>
      <c r="R633" s="239"/>
      <c r="S633" s="240"/>
      <c r="T633" s="216"/>
      <c r="U633" s="196"/>
    </row>
    <row r="634" spans="3:21" s="185" customFormat="1" ht="20.25" customHeight="1">
      <c r="C634" s="198"/>
      <c r="D634" s="203">
        <f t="shared" si="130"/>
        <v>634</v>
      </c>
      <c r="E634" s="207" t="s">
        <v>673</v>
      </c>
      <c r="F634" s="211"/>
      <c r="G634" s="206" t="s">
        <v>666</v>
      </c>
      <c r="H634" s="206"/>
      <c r="I634" s="224">
        <v>2.77</v>
      </c>
      <c r="J634" s="208"/>
      <c r="K634" s="234">
        <v>1308</v>
      </c>
      <c r="L634" s="208" t="s">
        <v>81</v>
      </c>
      <c r="M634" s="235">
        <f>K634</f>
        <v>1308</v>
      </c>
      <c r="N634" s="208" t="s">
        <v>668</v>
      </c>
      <c r="O634" s="246">
        <f>1/60*5</f>
        <v>8.3333333333333329E-2</v>
      </c>
      <c r="P634" s="208" t="s">
        <v>112</v>
      </c>
      <c r="Q634" s="240">
        <f t="shared" si="132"/>
        <v>109</v>
      </c>
      <c r="R634" s="239">
        <v>1</v>
      </c>
      <c r="S634" s="240">
        <f t="shared" si="133"/>
        <v>110</v>
      </c>
      <c r="T634" s="216" t="s">
        <v>48</v>
      </c>
      <c r="U634" s="196" t="str">
        <f t="shared" si="134"/>
        <v>110 Hrs</v>
      </c>
    </row>
    <row r="635" spans="3:21" s="185" customFormat="1" ht="20.25" customHeight="1">
      <c r="C635" s="198"/>
      <c r="D635" s="203">
        <f t="shared" si="130"/>
        <v>635</v>
      </c>
      <c r="E635" s="207" t="s">
        <v>674</v>
      </c>
      <c r="F635" s="211">
        <f t="shared" si="135"/>
        <v>634</v>
      </c>
      <c r="G635" s="206" t="s">
        <v>44</v>
      </c>
      <c r="H635" s="206"/>
      <c r="I635" s="224">
        <v>2.77</v>
      </c>
      <c r="J635" s="208"/>
      <c r="K635" s="234">
        <v>1308</v>
      </c>
      <c r="L635" s="208" t="s">
        <v>81</v>
      </c>
      <c r="M635" s="217">
        <v>1</v>
      </c>
      <c r="N635" s="208" t="s">
        <v>39</v>
      </c>
      <c r="O635" s="218">
        <v>8</v>
      </c>
      <c r="P635" s="208" t="s">
        <v>112</v>
      </c>
      <c r="Q635" s="240">
        <f t="shared" si="132"/>
        <v>8</v>
      </c>
      <c r="R635" s="239">
        <v>1</v>
      </c>
      <c r="S635" s="240">
        <f t="shared" si="133"/>
        <v>9</v>
      </c>
      <c r="T635" s="216" t="s">
        <v>48</v>
      </c>
      <c r="U635" s="196" t="str">
        <f t="shared" si="134"/>
        <v>9 Hrs</v>
      </c>
    </row>
    <row r="636" spans="3:21" s="185" customFormat="1" ht="20.25" customHeight="1">
      <c r="C636" s="198"/>
      <c r="D636" s="203">
        <f t="shared" si="130"/>
        <v>636</v>
      </c>
      <c r="E636" s="207" t="s">
        <v>675</v>
      </c>
      <c r="F636" s="211">
        <f t="shared" si="135"/>
        <v>635</v>
      </c>
      <c r="G636" s="206" t="s">
        <v>666</v>
      </c>
      <c r="H636" s="206"/>
      <c r="I636" s="224">
        <v>2.77</v>
      </c>
      <c r="J636" s="208"/>
      <c r="K636" s="234">
        <v>1308</v>
      </c>
      <c r="L636" s="208" t="s">
        <v>81</v>
      </c>
      <c r="M636" s="235">
        <f>K636</f>
        <v>1308</v>
      </c>
      <c r="N636" s="208" t="s">
        <v>668</v>
      </c>
      <c r="O636" s="246">
        <f>1/60*5</f>
        <v>8.3333333333333329E-2</v>
      </c>
      <c r="P636" s="208" t="s">
        <v>112</v>
      </c>
      <c r="Q636" s="240">
        <f t="shared" si="132"/>
        <v>109</v>
      </c>
      <c r="R636" s="239">
        <v>1</v>
      </c>
      <c r="S636" s="240">
        <f t="shared" si="133"/>
        <v>110</v>
      </c>
      <c r="T636" s="216" t="s">
        <v>48</v>
      </c>
      <c r="U636" s="196" t="str">
        <f t="shared" si="134"/>
        <v>110 Hrs</v>
      </c>
    </row>
    <row r="637" spans="3:21" s="185" customFormat="1" ht="20.25" customHeight="1">
      <c r="C637" s="198"/>
      <c r="D637" s="203">
        <f t="shared" si="130"/>
        <v>637</v>
      </c>
      <c r="E637" s="207" t="s">
        <v>676</v>
      </c>
      <c r="F637" s="211">
        <f t="shared" si="135"/>
        <v>636</v>
      </c>
      <c r="G637" s="206" t="s">
        <v>44</v>
      </c>
      <c r="H637" s="206"/>
      <c r="I637" s="224">
        <v>2.77</v>
      </c>
      <c r="J637" s="208"/>
      <c r="K637" s="234">
        <v>1308</v>
      </c>
      <c r="L637" s="208" t="s">
        <v>81</v>
      </c>
      <c r="M637" s="217">
        <v>1</v>
      </c>
      <c r="N637" s="208" t="s">
        <v>39</v>
      </c>
      <c r="O637" s="218">
        <v>8</v>
      </c>
      <c r="P637" s="208" t="s">
        <v>112</v>
      </c>
      <c r="Q637" s="240">
        <f t="shared" si="132"/>
        <v>8</v>
      </c>
      <c r="R637" s="239">
        <v>1</v>
      </c>
      <c r="S637" s="240">
        <f t="shared" si="133"/>
        <v>9</v>
      </c>
      <c r="T637" s="216" t="s">
        <v>48</v>
      </c>
      <c r="U637" s="196" t="str">
        <f t="shared" si="134"/>
        <v>9 Hrs</v>
      </c>
    </row>
    <row r="638" spans="3:21" s="185" customFormat="1" ht="20.25" customHeight="1">
      <c r="C638" s="198">
        <f t="shared" ref="C638" si="136">D638</f>
        <v>638</v>
      </c>
      <c r="D638" s="203">
        <f t="shared" si="130"/>
        <v>638</v>
      </c>
      <c r="E638" s="209" t="s">
        <v>677</v>
      </c>
      <c r="F638" s="210">
        <f>D633</f>
        <v>633</v>
      </c>
      <c r="G638" s="206"/>
      <c r="H638" s="206"/>
      <c r="I638" s="208"/>
      <c r="J638" s="208"/>
      <c r="K638" s="234"/>
      <c r="L638" s="208"/>
      <c r="M638" s="217"/>
      <c r="N638" s="208"/>
      <c r="O638" s="218"/>
      <c r="P638" s="208"/>
      <c r="Q638" s="240"/>
      <c r="R638" s="239"/>
      <c r="S638" s="240"/>
      <c r="T638" s="216"/>
      <c r="U638" s="196"/>
    </row>
    <row r="639" spans="3:21" s="185" customFormat="1" ht="20.25" customHeight="1">
      <c r="C639" s="198"/>
      <c r="D639" s="203">
        <f t="shared" si="130"/>
        <v>639</v>
      </c>
      <c r="E639" s="207" t="s">
        <v>678</v>
      </c>
      <c r="F639" s="210"/>
      <c r="G639" s="206"/>
      <c r="H639" s="206"/>
      <c r="I639" s="208"/>
      <c r="J639" s="208"/>
      <c r="K639" s="234">
        <v>1</v>
      </c>
      <c r="L639" s="208" t="s">
        <v>39</v>
      </c>
      <c r="M639" s="217">
        <v>1</v>
      </c>
      <c r="N639" s="208" t="s">
        <v>661</v>
      </c>
      <c r="O639" s="218">
        <v>4</v>
      </c>
      <c r="P639" s="208" t="s">
        <v>112</v>
      </c>
      <c r="Q639" s="240">
        <f t="shared" ref="Q639" si="137">M639*O639</f>
        <v>4</v>
      </c>
      <c r="R639" s="239">
        <v>1</v>
      </c>
      <c r="S639" s="240">
        <f t="shared" si="133"/>
        <v>5</v>
      </c>
      <c r="T639" s="216" t="s">
        <v>48</v>
      </c>
      <c r="U639" s="196" t="str">
        <f t="shared" si="134"/>
        <v>5 Hrs</v>
      </c>
    </row>
    <row r="640" spans="3:21" s="185" customFormat="1" ht="20.25" customHeight="1">
      <c r="C640" s="198"/>
      <c r="D640" s="203">
        <f t="shared" si="130"/>
        <v>640</v>
      </c>
      <c r="E640" s="207" t="s">
        <v>677</v>
      </c>
      <c r="F640" s="211">
        <f>D639</f>
        <v>639</v>
      </c>
      <c r="G640" s="206" t="s">
        <v>656</v>
      </c>
      <c r="H640" s="206"/>
      <c r="I640" s="208"/>
      <c r="J640" s="234" t="s">
        <v>407</v>
      </c>
      <c r="K640" s="234">
        <v>1</v>
      </c>
      <c r="L640" s="208" t="s">
        <v>39</v>
      </c>
      <c r="M640" s="217">
        <v>1</v>
      </c>
      <c r="N640" s="208" t="s">
        <v>661</v>
      </c>
      <c r="O640" s="218">
        <v>12</v>
      </c>
      <c r="P640" s="208" t="s">
        <v>112</v>
      </c>
      <c r="Q640" s="240">
        <f t="shared" si="132"/>
        <v>12</v>
      </c>
      <c r="R640" s="239">
        <v>1</v>
      </c>
      <c r="S640" s="240">
        <f t="shared" si="133"/>
        <v>13</v>
      </c>
      <c r="T640" s="216" t="s">
        <v>48</v>
      </c>
      <c r="U640" s="196" t="str">
        <f t="shared" si="134"/>
        <v>13 Hrs</v>
      </c>
    </row>
    <row r="641" spans="3:21" s="185" customFormat="1" ht="20.25" customHeight="1">
      <c r="C641" s="198"/>
      <c r="D641" s="203">
        <f t="shared" si="130"/>
        <v>641</v>
      </c>
      <c r="E641" s="207" t="s">
        <v>679</v>
      </c>
      <c r="F641" s="211">
        <f t="shared" si="135"/>
        <v>640</v>
      </c>
      <c r="G641" s="206" t="s">
        <v>348</v>
      </c>
      <c r="H641" s="206"/>
      <c r="I641" s="208"/>
      <c r="J641" s="234" t="str">
        <f>J640</f>
        <v>6130 lg</v>
      </c>
      <c r="K641" s="234">
        <v>1</v>
      </c>
      <c r="L641" s="208" t="s">
        <v>39</v>
      </c>
      <c r="M641" s="217">
        <v>1</v>
      </c>
      <c r="N641" s="208" t="s">
        <v>661</v>
      </c>
      <c r="O641" s="218">
        <v>1</v>
      </c>
      <c r="P641" s="208" t="s">
        <v>41</v>
      </c>
      <c r="Q641" s="240">
        <f t="shared" si="132"/>
        <v>1</v>
      </c>
      <c r="R641" s="239">
        <v>0</v>
      </c>
      <c r="S641" s="240">
        <f t="shared" si="133"/>
        <v>1</v>
      </c>
      <c r="T641" s="216" t="s">
        <v>48</v>
      </c>
      <c r="U641" s="196" t="str">
        <f t="shared" si="134"/>
        <v>1 Hrs</v>
      </c>
    </row>
    <row r="642" spans="3:21" s="185" customFormat="1" ht="20.25" customHeight="1">
      <c r="C642" s="198"/>
      <c r="D642" s="203">
        <f t="shared" si="130"/>
        <v>642</v>
      </c>
      <c r="E642" s="207" t="s">
        <v>680</v>
      </c>
      <c r="F642" s="211">
        <f t="shared" si="135"/>
        <v>641</v>
      </c>
      <c r="G642" s="206" t="s">
        <v>640</v>
      </c>
      <c r="H642" s="206"/>
      <c r="I642" s="208"/>
      <c r="J642" s="234" t="str">
        <f>J641</f>
        <v>6130 lg</v>
      </c>
      <c r="K642" s="234">
        <v>1</v>
      </c>
      <c r="L642" s="208" t="s">
        <v>39</v>
      </c>
      <c r="M642" s="217">
        <v>1</v>
      </c>
      <c r="N642" s="208" t="s">
        <v>661</v>
      </c>
      <c r="O642" s="218">
        <v>4</v>
      </c>
      <c r="P642" s="208" t="s">
        <v>112</v>
      </c>
      <c r="Q642" s="240">
        <f t="shared" si="132"/>
        <v>4</v>
      </c>
      <c r="R642" s="239">
        <v>0</v>
      </c>
      <c r="S642" s="240">
        <f t="shared" si="133"/>
        <v>4</v>
      </c>
      <c r="T642" s="216" t="s">
        <v>48</v>
      </c>
      <c r="U642" s="196" t="str">
        <f t="shared" si="134"/>
        <v>4 Hrs</v>
      </c>
    </row>
    <row r="643" spans="3:21" s="185" customFormat="1" ht="20.25" customHeight="1">
      <c r="C643" s="198">
        <f>D643</f>
        <v>643</v>
      </c>
      <c r="D643" s="203">
        <f>D642+1</f>
        <v>643</v>
      </c>
      <c r="E643" s="209" t="s">
        <v>35</v>
      </c>
      <c r="F643" s="210">
        <f>D1273</f>
        <v>1263</v>
      </c>
      <c r="G643" s="206"/>
      <c r="H643" s="206"/>
      <c r="I643" s="208"/>
      <c r="J643" s="208"/>
      <c r="K643" s="216"/>
      <c r="L643" s="208"/>
      <c r="M643" s="217"/>
      <c r="N643" s="208"/>
      <c r="O643" s="218"/>
      <c r="P643" s="208"/>
      <c r="Q643" s="208"/>
      <c r="R643" s="239"/>
      <c r="S643" s="240"/>
      <c r="T643" s="216"/>
      <c r="U643" s="196"/>
    </row>
    <row r="644" spans="3:21" s="185" customFormat="1" ht="20.25" customHeight="1">
      <c r="C644" s="198"/>
      <c r="D644" s="203">
        <f t="shared" ref="D644:D707" si="138">D643+1</f>
        <v>644</v>
      </c>
      <c r="E644" s="207" t="s">
        <v>36</v>
      </c>
      <c r="F644" s="208"/>
      <c r="G644" s="206" t="s">
        <v>37</v>
      </c>
      <c r="H644" s="206"/>
      <c r="I644" s="219">
        <v>24</v>
      </c>
      <c r="J644" s="220" t="s">
        <v>38</v>
      </c>
      <c r="K644" s="221">
        <v>1</v>
      </c>
      <c r="L644" s="220" t="s">
        <v>39</v>
      </c>
      <c r="M644" s="222">
        <v>1</v>
      </c>
      <c r="N644" s="220" t="s">
        <v>40</v>
      </c>
      <c r="O644" s="223">
        <v>4</v>
      </c>
      <c r="P644" s="220" t="s">
        <v>41</v>
      </c>
      <c r="Q644" s="240">
        <f>M644*O644</f>
        <v>4</v>
      </c>
      <c r="R644" s="241"/>
      <c r="S644" s="240">
        <f t="shared" si="133"/>
        <v>4</v>
      </c>
      <c r="T644" s="216" t="s">
        <v>42</v>
      </c>
      <c r="U644" s="196" t="str">
        <f t="shared" si="134"/>
        <v>4 Days</v>
      </c>
    </row>
    <row r="645" spans="3:21" s="185" customFormat="1" ht="20.25" customHeight="1">
      <c r="C645" s="198"/>
      <c r="D645" s="203">
        <f t="shared" si="138"/>
        <v>645</v>
      </c>
      <c r="E645" s="207" t="s">
        <v>681</v>
      </c>
      <c r="F645" s="211">
        <f t="shared" ref="F645:F658" si="139">D644</f>
        <v>644</v>
      </c>
      <c r="G645" s="206" t="s">
        <v>44</v>
      </c>
      <c r="H645" s="206"/>
      <c r="I645" s="224">
        <v>24</v>
      </c>
      <c r="J645" s="225" t="s">
        <v>45</v>
      </c>
      <c r="K645" s="226">
        <v>1</v>
      </c>
      <c r="L645" s="208" t="s">
        <v>39</v>
      </c>
      <c r="M645" s="227">
        <f>LEFT(J645,SEARCH(" ",J645,1)-1)*K645*0.001</f>
        <v>6.7229999999999999</v>
      </c>
      <c r="N645" s="228" t="s">
        <v>46</v>
      </c>
      <c r="O645" s="229">
        <f>VLOOKUP(I645,BM!$A$2:$X$104,2,FALSE)</f>
        <v>0.1</v>
      </c>
      <c r="P645" s="230" t="s">
        <v>47</v>
      </c>
      <c r="Q645" s="240">
        <f t="shared" ref="Q645" si="140">M645*O645</f>
        <v>0.67230000000000001</v>
      </c>
      <c r="R645" s="242">
        <v>1</v>
      </c>
      <c r="S645" s="240">
        <f t="shared" si="133"/>
        <v>1.67</v>
      </c>
      <c r="T645" s="243" t="s">
        <v>48</v>
      </c>
      <c r="U645" s="196" t="str">
        <f t="shared" si="134"/>
        <v>1.67 Hrs</v>
      </c>
    </row>
    <row r="646" spans="3:21" s="185" customFormat="1" ht="20.25" customHeight="1">
      <c r="C646" s="198"/>
      <c r="D646" s="203">
        <f t="shared" si="138"/>
        <v>646</v>
      </c>
      <c r="E646" s="207" t="s">
        <v>49</v>
      </c>
      <c r="F646" s="211">
        <f t="shared" si="139"/>
        <v>645</v>
      </c>
      <c r="G646" s="206" t="s">
        <v>44</v>
      </c>
      <c r="H646" s="206"/>
      <c r="I646" s="224">
        <v>24</v>
      </c>
      <c r="J646" s="211"/>
      <c r="K646" s="231">
        <v>1</v>
      </c>
      <c r="L646" s="208" t="s">
        <v>50</v>
      </c>
      <c r="M646" s="227">
        <v>1</v>
      </c>
      <c r="N646" s="208" t="s">
        <v>39</v>
      </c>
      <c r="O646" s="229">
        <v>1</v>
      </c>
      <c r="P646" s="208" t="s">
        <v>41</v>
      </c>
      <c r="Q646" s="240">
        <v>1</v>
      </c>
      <c r="R646" s="239"/>
      <c r="S646" s="240">
        <f t="shared" si="133"/>
        <v>1</v>
      </c>
      <c r="T646" s="216" t="s">
        <v>42</v>
      </c>
      <c r="U646" s="196" t="str">
        <f t="shared" si="134"/>
        <v>1 Days</v>
      </c>
    </row>
    <row r="647" spans="3:21" s="185" customFormat="1" ht="20.25" customHeight="1">
      <c r="C647" s="198"/>
      <c r="D647" s="203">
        <f t="shared" si="138"/>
        <v>647</v>
      </c>
      <c r="E647" s="207" t="s">
        <v>51</v>
      </c>
      <c r="F647" s="211">
        <f t="shared" si="139"/>
        <v>646</v>
      </c>
      <c r="G647" s="206" t="s">
        <v>52</v>
      </c>
      <c r="H647" s="206"/>
      <c r="I647" s="224">
        <v>24</v>
      </c>
      <c r="J647" s="211" t="str">
        <f>J645</f>
        <v>6723 MM</v>
      </c>
      <c r="K647" s="231">
        <v>1</v>
      </c>
      <c r="L647" s="208" t="s">
        <v>50</v>
      </c>
      <c r="M647" s="227">
        <f>LEFT(J647,SEARCH(" ",J647,1)-1)*K647*0.001</f>
        <v>6.7229999999999999</v>
      </c>
      <c r="N647" s="208" t="s">
        <v>46</v>
      </c>
      <c r="O647" s="229">
        <f>VLOOKUP(I647,BM!$A$2:$X$104,3,FALSE)</f>
        <v>0.25</v>
      </c>
      <c r="P647" s="230" t="s">
        <v>53</v>
      </c>
      <c r="Q647" s="240">
        <f t="shared" ref="Q647:Q658" si="141">M647*O647</f>
        <v>1.68075</v>
      </c>
      <c r="R647" s="242">
        <v>1</v>
      </c>
      <c r="S647" s="240">
        <f t="shared" si="133"/>
        <v>2.68</v>
      </c>
      <c r="T647" s="243" t="s">
        <v>48</v>
      </c>
      <c r="U647" s="196" t="str">
        <f t="shared" si="134"/>
        <v>2.68 Hrs</v>
      </c>
    </row>
    <row r="648" spans="3:21" s="185" customFormat="1" ht="20.25" customHeight="1">
      <c r="C648" s="198"/>
      <c r="D648" s="203">
        <f t="shared" si="138"/>
        <v>648</v>
      </c>
      <c r="E648" s="207" t="s">
        <v>54</v>
      </c>
      <c r="F648" s="211">
        <f t="shared" si="139"/>
        <v>647</v>
      </c>
      <c r="G648" s="206" t="s">
        <v>55</v>
      </c>
      <c r="H648" s="206"/>
      <c r="I648" s="224">
        <v>24</v>
      </c>
      <c r="J648" s="211" t="str">
        <f>J647</f>
        <v>6723 MM</v>
      </c>
      <c r="K648" s="231">
        <v>1</v>
      </c>
      <c r="L648" s="208" t="s">
        <v>50</v>
      </c>
      <c r="M648" s="227">
        <v>1</v>
      </c>
      <c r="N648" s="208" t="s">
        <v>39</v>
      </c>
      <c r="O648" s="232">
        <v>10</v>
      </c>
      <c r="P648" s="230" t="s">
        <v>41</v>
      </c>
      <c r="Q648" s="240">
        <f t="shared" si="141"/>
        <v>10</v>
      </c>
      <c r="R648" s="242"/>
      <c r="S648" s="240">
        <f t="shared" si="133"/>
        <v>10</v>
      </c>
      <c r="T648" s="216" t="s">
        <v>42</v>
      </c>
      <c r="U648" s="196" t="str">
        <f t="shared" si="134"/>
        <v>10 Days</v>
      </c>
    </row>
    <row r="649" spans="3:21" s="185" customFormat="1" ht="20.25" customHeight="1">
      <c r="C649" s="198"/>
      <c r="D649" s="203">
        <f t="shared" si="138"/>
        <v>649</v>
      </c>
      <c r="E649" s="207" t="s">
        <v>56</v>
      </c>
      <c r="F649" s="211">
        <f t="shared" si="139"/>
        <v>648</v>
      </c>
      <c r="G649" s="206" t="s">
        <v>44</v>
      </c>
      <c r="H649" s="206"/>
      <c r="I649" s="224">
        <v>24</v>
      </c>
      <c r="J649" s="211" t="str">
        <f t="shared" ref="J649:J655" si="142">J648</f>
        <v>6723 MM</v>
      </c>
      <c r="K649" s="231">
        <v>1</v>
      </c>
      <c r="L649" s="208" t="s">
        <v>50</v>
      </c>
      <c r="M649" s="217">
        <v>1</v>
      </c>
      <c r="N649" s="208" t="s">
        <v>39</v>
      </c>
      <c r="O649" s="232">
        <v>1</v>
      </c>
      <c r="P649" s="230" t="s">
        <v>41</v>
      </c>
      <c r="Q649" s="240">
        <f t="shared" si="141"/>
        <v>1</v>
      </c>
      <c r="R649" s="242"/>
      <c r="S649" s="240">
        <f t="shared" si="133"/>
        <v>1</v>
      </c>
      <c r="T649" s="216" t="s">
        <v>42</v>
      </c>
      <c r="U649" s="196" t="str">
        <f t="shared" si="134"/>
        <v>1 Days</v>
      </c>
    </row>
    <row r="650" spans="3:21" s="185" customFormat="1" ht="20.25" customHeight="1">
      <c r="C650" s="198"/>
      <c r="D650" s="203">
        <f t="shared" si="138"/>
        <v>650</v>
      </c>
      <c r="E650" s="207" t="s">
        <v>57</v>
      </c>
      <c r="F650" s="211">
        <f t="shared" si="139"/>
        <v>649</v>
      </c>
      <c r="G650" s="206" t="s">
        <v>55</v>
      </c>
      <c r="H650" s="206"/>
      <c r="I650" s="224">
        <v>24</v>
      </c>
      <c r="J650" s="211" t="str">
        <f t="shared" si="142"/>
        <v>6723 MM</v>
      </c>
      <c r="K650" s="231">
        <v>1</v>
      </c>
      <c r="L650" s="208" t="s">
        <v>50</v>
      </c>
      <c r="M650" s="217">
        <v>1</v>
      </c>
      <c r="N650" s="208" t="s">
        <v>39</v>
      </c>
      <c r="O650" s="232">
        <v>1</v>
      </c>
      <c r="P650" s="230" t="s">
        <v>41</v>
      </c>
      <c r="Q650" s="240">
        <f t="shared" si="141"/>
        <v>1</v>
      </c>
      <c r="R650" s="242"/>
      <c r="S650" s="240">
        <f t="shared" si="133"/>
        <v>1</v>
      </c>
      <c r="T650" s="216" t="s">
        <v>42</v>
      </c>
      <c r="U650" s="196" t="str">
        <f t="shared" si="134"/>
        <v>1 Days</v>
      </c>
    </row>
    <row r="651" spans="3:21" s="185" customFormat="1" ht="20.25" customHeight="1">
      <c r="C651" s="198"/>
      <c r="D651" s="203">
        <f t="shared" si="138"/>
        <v>651</v>
      </c>
      <c r="E651" s="207" t="s">
        <v>58</v>
      </c>
      <c r="F651" s="211">
        <f t="shared" si="139"/>
        <v>650</v>
      </c>
      <c r="G651" s="206" t="s">
        <v>55</v>
      </c>
      <c r="H651" s="206"/>
      <c r="I651" s="224">
        <v>24</v>
      </c>
      <c r="J651" s="211" t="str">
        <f t="shared" si="142"/>
        <v>6723 MM</v>
      </c>
      <c r="K651" s="231">
        <v>1</v>
      </c>
      <c r="L651" s="208" t="s">
        <v>50</v>
      </c>
      <c r="M651" s="217">
        <v>1</v>
      </c>
      <c r="N651" s="208" t="s">
        <v>39</v>
      </c>
      <c r="O651" s="232">
        <v>4</v>
      </c>
      <c r="P651" s="230" t="s">
        <v>41</v>
      </c>
      <c r="Q651" s="240">
        <f t="shared" si="141"/>
        <v>4</v>
      </c>
      <c r="R651" s="242"/>
      <c r="S651" s="240">
        <f t="shared" si="133"/>
        <v>4</v>
      </c>
      <c r="T651" s="216" t="s">
        <v>42</v>
      </c>
      <c r="U651" s="196" t="str">
        <f t="shared" si="134"/>
        <v>4 Days</v>
      </c>
    </row>
    <row r="652" spans="3:21" s="185" customFormat="1" ht="20.25" customHeight="1">
      <c r="C652" s="198"/>
      <c r="D652" s="203">
        <f t="shared" si="138"/>
        <v>652</v>
      </c>
      <c r="E652" s="207" t="s">
        <v>59</v>
      </c>
      <c r="F652" s="211">
        <f t="shared" si="139"/>
        <v>651</v>
      </c>
      <c r="G652" s="206" t="s">
        <v>44</v>
      </c>
      <c r="H652" s="206"/>
      <c r="I652" s="224">
        <v>24</v>
      </c>
      <c r="J652" s="211" t="str">
        <f t="shared" si="142"/>
        <v>6723 MM</v>
      </c>
      <c r="K652" s="231">
        <v>1</v>
      </c>
      <c r="L652" s="208" t="s">
        <v>50</v>
      </c>
      <c r="M652" s="217">
        <v>1</v>
      </c>
      <c r="N652" s="208" t="s">
        <v>39</v>
      </c>
      <c r="O652" s="232">
        <v>1</v>
      </c>
      <c r="P652" s="230" t="s">
        <v>41</v>
      </c>
      <c r="Q652" s="240">
        <f t="shared" si="141"/>
        <v>1</v>
      </c>
      <c r="R652" s="242"/>
      <c r="S652" s="240">
        <f t="shared" si="133"/>
        <v>1</v>
      </c>
      <c r="T652" s="216" t="s">
        <v>42</v>
      </c>
      <c r="U652" s="196" t="str">
        <f t="shared" si="134"/>
        <v>1 Days</v>
      </c>
    </row>
    <row r="653" spans="3:21" s="185" customFormat="1" ht="20.25" customHeight="1">
      <c r="C653" s="198"/>
      <c r="D653" s="203">
        <f t="shared" si="138"/>
        <v>653</v>
      </c>
      <c r="E653" s="207" t="s">
        <v>60</v>
      </c>
      <c r="F653" s="211">
        <f t="shared" si="139"/>
        <v>652</v>
      </c>
      <c r="G653" s="206" t="s">
        <v>61</v>
      </c>
      <c r="H653" s="206"/>
      <c r="I653" s="224">
        <v>24</v>
      </c>
      <c r="J653" s="211" t="str">
        <f t="shared" si="142"/>
        <v>6723 MM</v>
      </c>
      <c r="K653" s="231">
        <v>1</v>
      </c>
      <c r="L653" s="208" t="s">
        <v>50</v>
      </c>
      <c r="M653" s="217">
        <v>1</v>
      </c>
      <c r="N653" s="208" t="s">
        <v>39</v>
      </c>
      <c r="O653" s="232">
        <v>1</v>
      </c>
      <c r="P653" s="230" t="s">
        <v>41</v>
      </c>
      <c r="Q653" s="240">
        <f t="shared" si="141"/>
        <v>1</v>
      </c>
      <c r="R653" s="242">
        <v>1</v>
      </c>
      <c r="S653" s="240">
        <f t="shared" si="133"/>
        <v>2</v>
      </c>
      <c r="T653" s="216" t="s">
        <v>42</v>
      </c>
      <c r="U653" s="196" t="str">
        <f t="shared" si="134"/>
        <v>2 Days</v>
      </c>
    </row>
    <row r="654" spans="3:21" s="185" customFormat="1" ht="20.25" customHeight="1">
      <c r="C654" s="198"/>
      <c r="D654" s="203">
        <f t="shared" si="138"/>
        <v>654</v>
      </c>
      <c r="E654" s="207" t="s">
        <v>62</v>
      </c>
      <c r="F654" s="211">
        <f t="shared" si="139"/>
        <v>653</v>
      </c>
      <c r="G654" s="206" t="s">
        <v>63</v>
      </c>
      <c r="H654" s="206"/>
      <c r="I654" s="224">
        <v>24</v>
      </c>
      <c r="J654" s="211" t="str">
        <f t="shared" si="142"/>
        <v>6723 MM</v>
      </c>
      <c r="K654" s="231">
        <v>1</v>
      </c>
      <c r="L654" s="208" t="s">
        <v>50</v>
      </c>
      <c r="M654" s="217">
        <v>1</v>
      </c>
      <c r="N654" s="208" t="s">
        <v>39</v>
      </c>
      <c r="O654" s="232">
        <v>1</v>
      </c>
      <c r="P654" s="230" t="s">
        <v>41</v>
      </c>
      <c r="Q654" s="240">
        <f t="shared" si="141"/>
        <v>1</v>
      </c>
      <c r="R654" s="242"/>
      <c r="S654" s="240">
        <f t="shared" si="133"/>
        <v>1</v>
      </c>
      <c r="T654" s="216" t="s">
        <v>42</v>
      </c>
      <c r="U654" s="196" t="str">
        <f t="shared" si="134"/>
        <v>1 Days</v>
      </c>
    </row>
    <row r="655" spans="3:21" s="185" customFormat="1" ht="20.25" customHeight="1">
      <c r="C655" s="198"/>
      <c r="D655" s="203">
        <f t="shared" si="138"/>
        <v>655</v>
      </c>
      <c r="E655" s="207" t="s">
        <v>64</v>
      </c>
      <c r="F655" s="211">
        <f t="shared" si="139"/>
        <v>654</v>
      </c>
      <c r="G655" s="206" t="s">
        <v>63</v>
      </c>
      <c r="H655" s="206"/>
      <c r="I655" s="224">
        <v>24</v>
      </c>
      <c r="J655" s="211" t="str">
        <f t="shared" si="142"/>
        <v>6723 MM</v>
      </c>
      <c r="K655" s="231">
        <v>1</v>
      </c>
      <c r="L655" s="208" t="s">
        <v>50</v>
      </c>
      <c r="M655" s="217">
        <v>1</v>
      </c>
      <c r="N655" s="208" t="s">
        <v>39</v>
      </c>
      <c r="O655" s="232">
        <v>1</v>
      </c>
      <c r="P655" s="230" t="s">
        <v>41</v>
      </c>
      <c r="Q655" s="240">
        <f t="shared" si="141"/>
        <v>1</v>
      </c>
      <c r="R655" s="242"/>
      <c r="S655" s="240">
        <f t="shared" si="133"/>
        <v>1</v>
      </c>
      <c r="T655" s="216" t="s">
        <v>42</v>
      </c>
      <c r="U655" s="196" t="str">
        <f t="shared" si="134"/>
        <v>1 Days</v>
      </c>
    </row>
    <row r="656" spans="3:21" s="185" customFormat="1" ht="20.25" customHeight="1">
      <c r="C656" s="198"/>
      <c r="D656" s="203">
        <f t="shared" si="138"/>
        <v>656</v>
      </c>
      <c r="E656" s="207" t="s">
        <v>682</v>
      </c>
      <c r="F656" s="211">
        <f t="shared" si="139"/>
        <v>655</v>
      </c>
      <c r="G656" s="206" t="s">
        <v>44</v>
      </c>
      <c r="H656" s="206" t="s">
        <v>66</v>
      </c>
      <c r="I656" s="224">
        <v>24</v>
      </c>
      <c r="J656" s="225" t="s">
        <v>67</v>
      </c>
      <c r="K656" s="231">
        <v>1</v>
      </c>
      <c r="L656" s="208" t="s">
        <v>50</v>
      </c>
      <c r="M656" s="227">
        <f>LEFT(J656,SEARCH(" ",J656,1)-1)*K656*0.001*3.142</f>
        <v>5.3162639999999994</v>
      </c>
      <c r="N656" s="208" t="s">
        <v>68</v>
      </c>
      <c r="O656" s="229">
        <f>VLOOKUP(I656,BM!$A$2:$X$104,2,FALSE)</f>
        <v>0.1</v>
      </c>
      <c r="P656" s="230" t="s">
        <v>53</v>
      </c>
      <c r="Q656" s="240">
        <f t="shared" si="141"/>
        <v>0.53162639999999994</v>
      </c>
      <c r="R656" s="242">
        <v>1</v>
      </c>
      <c r="S656" s="240">
        <f t="shared" si="133"/>
        <v>1.53</v>
      </c>
      <c r="T656" s="243" t="s">
        <v>48</v>
      </c>
      <c r="U656" s="196" t="str">
        <f t="shared" si="134"/>
        <v>1.53 Hrs</v>
      </c>
    </row>
    <row r="657" spans="3:21" s="185" customFormat="1" ht="20.25" customHeight="1">
      <c r="C657" s="198"/>
      <c r="D657" s="203">
        <f t="shared" si="138"/>
        <v>657</v>
      </c>
      <c r="E657" s="207" t="s">
        <v>683</v>
      </c>
      <c r="F657" s="211">
        <f t="shared" si="139"/>
        <v>656</v>
      </c>
      <c r="G657" s="206" t="s">
        <v>52</v>
      </c>
      <c r="H657" s="206"/>
      <c r="I657" s="224">
        <v>24</v>
      </c>
      <c r="J657" s="211" t="str">
        <f>J656</f>
        <v>1692 od</v>
      </c>
      <c r="K657" s="231">
        <v>1</v>
      </c>
      <c r="L657" s="208" t="s">
        <v>50</v>
      </c>
      <c r="M657" s="227">
        <f>LEFT(J657,SEARCH(" ",J657,1)-1)*K657*0.001*3.142</f>
        <v>5.3162639999999994</v>
      </c>
      <c r="N657" s="208" t="s">
        <v>68</v>
      </c>
      <c r="O657" s="229">
        <f>VLOOKUP(I657,BM!$A$2:$X$104,15,FALSE)</f>
        <v>1</v>
      </c>
      <c r="P657" s="230" t="s">
        <v>53</v>
      </c>
      <c r="Q657" s="240">
        <f t="shared" si="141"/>
        <v>5.3162639999999994</v>
      </c>
      <c r="R657" s="242">
        <v>1</v>
      </c>
      <c r="S657" s="240">
        <f t="shared" si="133"/>
        <v>6.32</v>
      </c>
      <c r="T657" s="243" t="s">
        <v>48</v>
      </c>
      <c r="U657" s="196" t="str">
        <f t="shared" si="134"/>
        <v>6.32 Hrs</v>
      </c>
    </row>
    <row r="658" spans="3:21" s="185" customFormat="1" ht="20.25" customHeight="1">
      <c r="C658" s="198"/>
      <c r="D658" s="203">
        <f t="shared" si="138"/>
        <v>658</v>
      </c>
      <c r="E658" s="207" t="s">
        <v>684</v>
      </c>
      <c r="F658" s="211">
        <f t="shared" si="139"/>
        <v>657</v>
      </c>
      <c r="G658" s="206" t="s">
        <v>61</v>
      </c>
      <c r="H658" s="206"/>
      <c r="I658" s="224">
        <v>24</v>
      </c>
      <c r="J658" s="211" t="str">
        <f>J657</f>
        <v>1692 od</v>
      </c>
      <c r="K658" s="231">
        <v>1</v>
      </c>
      <c r="L658" s="208" t="s">
        <v>50</v>
      </c>
      <c r="M658" s="227">
        <f>LEFT(J658,SEARCH(" ",J658,1)-1)*K658*0.001*3.142</f>
        <v>5.3162639999999994</v>
      </c>
      <c r="N658" s="208" t="s">
        <v>68</v>
      </c>
      <c r="O658" s="229">
        <f>VLOOKUP(I658,BM!$A$2:$X$104,6,FALSE)</f>
        <v>1</v>
      </c>
      <c r="P658" s="230" t="s">
        <v>53</v>
      </c>
      <c r="Q658" s="240">
        <f t="shared" si="141"/>
        <v>5.3162639999999994</v>
      </c>
      <c r="R658" s="242"/>
      <c r="S658" s="240">
        <f t="shared" si="133"/>
        <v>5.32</v>
      </c>
      <c r="T658" s="243" t="s">
        <v>48</v>
      </c>
      <c r="U658" s="196" t="str">
        <f t="shared" si="134"/>
        <v>5.32 Hrs</v>
      </c>
    </row>
    <row r="659" spans="3:21" s="185" customFormat="1" ht="20.25" customHeight="1">
      <c r="C659" s="198">
        <f t="shared" ref="C659:C660" si="143">D659</f>
        <v>659</v>
      </c>
      <c r="D659" s="203">
        <f t="shared" si="138"/>
        <v>659</v>
      </c>
      <c r="E659" s="204" t="s">
        <v>71</v>
      </c>
      <c r="F659" s="205"/>
      <c r="G659" s="206"/>
      <c r="H659" s="206"/>
      <c r="I659" s="208"/>
      <c r="J659" s="208"/>
      <c r="K659" s="231"/>
      <c r="L659" s="208"/>
      <c r="M659" s="217"/>
      <c r="N659" s="208"/>
      <c r="O659" s="232"/>
      <c r="P659" s="230"/>
      <c r="Q659" s="240"/>
      <c r="R659" s="242"/>
      <c r="S659" s="240"/>
      <c r="T659" s="243"/>
      <c r="U659" s="196"/>
    </row>
    <row r="660" spans="3:21" s="185" customFormat="1" ht="20.25" customHeight="1">
      <c r="C660" s="198">
        <f t="shared" si="143"/>
        <v>660</v>
      </c>
      <c r="D660" s="203">
        <f t="shared" si="138"/>
        <v>660</v>
      </c>
      <c r="E660" s="204" t="s">
        <v>685</v>
      </c>
      <c r="F660" s="210">
        <f>D1274</f>
        <v>1264</v>
      </c>
      <c r="G660" s="206"/>
      <c r="H660" s="206"/>
      <c r="I660" s="208"/>
      <c r="J660" s="208"/>
      <c r="K660" s="231"/>
      <c r="L660" s="208"/>
      <c r="M660" s="217"/>
      <c r="N660" s="208"/>
      <c r="O660" s="232"/>
      <c r="P660" s="230"/>
      <c r="Q660" s="240"/>
      <c r="R660" s="242"/>
      <c r="S660" s="240"/>
      <c r="T660" s="243"/>
      <c r="U660" s="196"/>
    </row>
    <row r="661" spans="3:21" s="185" customFormat="1" ht="20.25" customHeight="1">
      <c r="C661" s="198"/>
      <c r="D661" s="203">
        <f t="shared" si="138"/>
        <v>661</v>
      </c>
      <c r="E661" s="207" t="s">
        <v>686</v>
      </c>
      <c r="F661" s="208"/>
      <c r="G661" s="206"/>
      <c r="H661" s="206" t="s">
        <v>66</v>
      </c>
      <c r="I661" s="224" t="s">
        <v>74</v>
      </c>
      <c r="J661" s="208" t="str">
        <f>J658</f>
        <v>1692 od</v>
      </c>
      <c r="K661" s="231">
        <v>1</v>
      </c>
      <c r="L661" s="208" t="s">
        <v>39</v>
      </c>
      <c r="M661" s="217">
        <v>1</v>
      </c>
      <c r="N661" s="208" t="s">
        <v>50</v>
      </c>
      <c r="O661" s="232">
        <v>2</v>
      </c>
      <c r="P661" s="230" t="s">
        <v>41</v>
      </c>
      <c r="Q661" s="240">
        <f t="shared" ref="Q661:Q662" si="144">M661*O661</f>
        <v>2</v>
      </c>
      <c r="R661" s="242"/>
      <c r="S661" s="240">
        <f t="shared" si="133"/>
        <v>2</v>
      </c>
      <c r="T661" s="216" t="s">
        <v>42</v>
      </c>
      <c r="U661" s="196" t="str">
        <f t="shared" si="134"/>
        <v>2 Days</v>
      </c>
    </row>
    <row r="662" spans="3:21" s="185" customFormat="1" ht="20.25" customHeight="1">
      <c r="C662" s="198"/>
      <c r="D662" s="203">
        <f t="shared" si="138"/>
        <v>662</v>
      </c>
      <c r="E662" s="207" t="s">
        <v>687</v>
      </c>
      <c r="F662" s="211">
        <f>D661</f>
        <v>661</v>
      </c>
      <c r="G662" s="206" t="s">
        <v>55</v>
      </c>
      <c r="H662" s="206"/>
      <c r="I662" s="233" t="str">
        <f>I661</f>
        <v>145 t</v>
      </c>
      <c r="J662" s="208" t="str">
        <f>J661</f>
        <v>1692 od</v>
      </c>
      <c r="K662" s="231">
        <v>1</v>
      </c>
      <c r="L662" s="208" t="s">
        <v>39</v>
      </c>
      <c r="M662" s="217">
        <v>1</v>
      </c>
      <c r="N662" s="208" t="s">
        <v>50</v>
      </c>
      <c r="O662" s="232">
        <v>5</v>
      </c>
      <c r="P662" s="230" t="s">
        <v>41</v>
      </c>
      <c r="Q662" s="240">
        <f t="shared" si="144"/>
        <v>5</v>
      </c>
      <c r="R662" s="242"/>
      <c r="S662" s="240">
        <f t="shared" si="133"/>
        <v>5</v>
      </c>
      <c r="T662" s="216" t="s">
        <v>42</v>
      </c>
      <c r="U662" s="196" t="str">
        <f t="shared" si="134"/>
        <v>5 Days</v>
      </c>
    </row>
    <row r="663" spans="3:21" s="185" customFormat="1" ht="20.25" customHeight="1">
      <c r="C663" s="198">
        <f>D663</f>
        <v>663</v>
      </c>
      <c r="D663" s="203">
        <f t="shared" si="138"/>
        <v>663</v>
      </c>
      <c r="E663" s="204" t="s">
        <v>76</v>
      </c>
      <c r="F663" s="210">
        <f>D660</f>
        <v>660</v>
      </c>
      <c r="G663" s="206"/>
      <c r="H663" s="206"/>
      <c r="I663" s="208"/>
      <c r="J663" s="208"/>
      <c r="K663" s="231"/>
      <c r="L663" s="208"/>
      <c r="M663" s="217"/>
      <c r="N663" s="208"/>
      <c r="O663" s="232"/>
      <c r="P663" s="230"/>
      <c r="Q663" s="240"/>
      <c r="R663" s="242"/>
      <c r="S663" s="240"/>
      <c r="T663" s="243"/>
      <c r="U663" s="196"/>
    </row>
    <row r="664" spans="3:21" s="185" customFormat="1" ht="20.25" customHeight="1">
      <c r="C664" s="198"/>
      <c r="D664" s="203">
        <f t="shared" si="138"/>
        <v>664</v>
      </c>
      <c r="E664" s="207" t="s">
        <v>77</v>
      </c>
      <c r="F664" s="211"/>
      <c r="G664" s="206" t="s">
        <v>55</v>
      </c>
      <c r="H664" s="206"/>
      <c r="I664" s="224" t="str">
        <f>I661</f>
        <v>145 t</v>
      </c>
      <c r="J664" s="234" t="s">
        <v>78</v>
      </c>
      <c r="K664" s="231">
        <v>1</v>
      </c>
      <c r="L664" s="208" t="s">
        <v>39</v>
      </c>
      <c r="M664" s="227">
        <f>LEFT(J664,SEARCH(" ",J664,1)-1)*LEFT(I664,SEARCH(" ",I664,1)-1)*K664/1000</f>
        <v>189.66</v>
      </c>
      <c r="N664" s="208" t="s">
        <v>79</v>
      </c>
      <c r="O664" s="229">
        <f>1/1.5^1</f>
        <v>0.66666666666666663</v>
      </c>
      <c r="P664" s="230" t="s">
        <v>47</v>
      </c>
      <c r="Q664" s="240">
        <f>M664*O664/24</f>
        <v>5.2683333333333335</v>
      </c>
      <c r="R664" s="242"/>
      <c r="S664" s="240">
        <f t="shared" si="133"/>
        <v>5.27</v>
      </c>
      <c r="T664" s="216" t="s">
        <v>42</v>
      </c>
      <c r="U664" s="196" t="str">
        <f t="shared" si="134"/>
        <v>5.27 Days</v>
      </c>
    </row>
    <row r="665" spans="3:21" s="185" customFormat="1" ht="20.25" customHeight="1">
      <c r="C665" s="198"/>
      <c r="D665" s="203">
        <f t="shared" si="138"/>
        <v>665</v>
      </c>
      <c r="E665" s="207" t="s">
        <v>80</v>
      </c>
      <c r="F665" s="211">
        <f t="shared" ref="F665:F669" si="145">D664</f>
        <v>664</v>
      </c>
      <c r="G665" s="206" t="s">
        <v>55</v>
      </c>
      <c r="H665" s="206"/>
      <c r="I665" s="224" t="str">
        <f>I661</f>
        <v>145 t</v>
      </c>
      <c r="J665" s="208" t="str">
        <f>J664</f>
        <v>1308 holes</v>
      </c>
      <c r="K665" s="231">
        <v>1</v>
      </c>
      <c r="L665" s="208" t="s">
        <v>40</v>
      </c>
      <c r="M665" s="227" t="str">
        <f>LEFT(J665,SEARCH(" ",J665,1)-1)</f>
        <v>1308</v>
      </c>
      <c r="N665" s="208" t="s">
        <v>81</v>
      </c>
      <c r="O665" s="229">
        <f>1/60*5</f>
        <v>8.3333333333333329E-2</v>
      </c>
      <c r="P665" s="230" t="s">
        <v>47</v>
      </c>
      <c r="Q665" s="240">
        <f>M665*O665/24</f>
        <v>4.541666666666667</v>
      </c>
      <c r="R665" s="242"/>
      <c r="S665" s="240">
        <f t="shared" si="133"/>
        <v>4.54</v>
      </c>
      <c r="T665" s="216" t="s">
        <v>42</v>
      </c>
      <c r="U665" s="196" t="str">
        <f t="shared" si="134"/>
        <v>4.54 Days</v>
      </c>
    </row>
    <row r="666" spans="3:21" s="185" customFormat="1" ht="20.25" customHeight="1">
      <c r="C666" s="198"/>
      <c r="D666" s="203">
        <f t="shared" si="138"/>
        <v>666</v>
      </c>
      <c r="E666" s="207" t="s">
        <v>82</v>
      </c>
      <c r="F666" s="211">
        <f t="shared" si="145"/>
        <v>665</v>
      </c>
      <c r="G666" s="206" t="s">
        <v>55</v>
      </c>
      <c r="H666" s="206"/>
      <c r="I666" s="224" t="str">
        <f>I661</f>
        <v>145 t</v>
      </c>
      <c r="J666" s="208"/>
      <c r="K666" s="231">
        <v>1</v>
      </c>
      <c r="L666" s="208" t="s">
        <v>83</v>
      </c>
      <c r="M666" s="235">
        <v>1</v>
      </c>
      <c r="N666" s="208" t="s">
        <v>84</v>
      </c>
      <c r="O666" s="229">
        <v>1</v>
      </c>
      <c r="P666" s="230" t="s">
        <v>41</v>
      </c>
      <c r="Q666" s="240">
        <f>M666*O666</f>
        <v>1</v>
      </c>
      <c r="R666" s="242"/>
      <c r="S666" s="240">
        <f t="shared" si="133"/>
        <v>1</v>
      </c>
      <c r="T666" s="216" t="s">
        <v>42</v>
      </c>
      <c r="U666" s="196" t="str">
        <f t="shared" si="134"/>
        <v>1 Days</v>
      </c>
    </row>
    <row r="667" spans="3:21" s="185" customFormat="1" ht="20.25" customHeight="1">
      <c r="C667" s="198"/>
      <c r="D667" s="203">
        <f t="shared" si="138"/>
        <v>667</v>
      </c>
      <c r="E667" s="207" t="s">
        <v>85</v>
      </c>
      <c r="F667" s="211">
        <f t="shared" si="145"/>
        <v>666</v>
      </c>
      <c r="G667" s="206" t="s">
        <v>55</v>
      </c>
      <c r="H667" s="206"/>
      <c r="I667" s="224" t="str">
        <f>I661</f>
        <v>145 t</v>
      </c>
      <c r="J667" s="208"/>
      <c r="K667" s="231">
        <v>1</v>
      </c>
      <c r="L667" s="208" t="s">
        <v>83</v>
      </c>
      <c r="M667" s="217">
        <v>1</v>
      </c>
      <c r="N667" s="208" t="s">
        <v>84</v>
      </c>
      <c r="O667" s="232">
        <v>4</v>
      </c>
      <c r="P667" s="230" t="s">
        <v>41</v>
      </c>
      <c r="Q667" s="240">
        <f t="shared" ref="Q667:Q668" si="146">M667*O667</f>
        <v>4</v>
      </c>
      <c r="R667" s="242"/>
      <c r="S667" s="240">
        <f t="shared" si="133"/>
        <v>4</v>
      </c>
      <c r="T667" s="216" t="s">
        <v>42</v>
      </c>
      <c r="U667" s="196" t="str">
        <f t="shared" si="134"/>
        <v>4 Days</v>
      </c>
    </row>
    <row r="668" spans="3:21" s="185" customFormat="1" ht="20.25" customHeight="1">
      <c r="C668" s="198"/>
      <c r="D668" s="203">
        <f t="shared" si="138"/>
        <v>668</v>
      </c>
      <c r="E668" s="207" t="s">
        <v>86</v>
      </c>
      <c r="F668" s="211">
        <f t="shared" si="145"/>
        <v>667</v>
      </c>
      <c r="G668" s="206" t="s">
        <v>44</v>
      </c>
      <c r="H668" s="206"/>
      <c r="I668" s="224" t="str">
        <f>I661</f>
        <v>145 t</v>
      </c>
      <c r="J668" s="208" t="str">
        <f>J665</f>
        <v>1308 holes</v>
      </c>
      <c r="K668" s="231">
        <v>1</v>
      </c>
      <c r="L668" s="208" t="s">
        <v>40</v>
      </c>
      <c r="M668" s="227" t="str">
        <f>LEFT(J668,SEARCH(" ",J668,1)-1)</f>
        <v>1308</v>
      </c>
      <c r="N668" s="208" t="s">
        <v>40</v>
      </c>
      <c r="O668" s="229">
        <f>1/60*3</f>
        <v>0.05</v>
      </c>
      <c r="P668" s="230" t="s">
        <v>87</v>
      </c>
      <c r="Q668" s="240">
        <f t="shared" si="146"/>
        <v>65.400000000000006</v>
      </c>
      <c r="R668" s="242"/>
      <c r="S668" s="240">
        <f t="shared" si="133"/>
        <v>65.400000000000006</v>
      </c>
      <c r="T668" s="243" t="s">
        <v>48</v>
      </c>
      <c r="U668" s="196" t="str">
        <f t="shared" si="134"/>
        <v>65.4 Hrs</v>
      </c>
    </row>
    <row r="669" spans="3:21" s="185" customFormat="1" ht="20.25" customHeight="1">
      <c r="C669" s="198"/>
      <c r="D669" s="203">
        <f t="shared" si="138"/>
        <v>669</v>
      </c>
      <c r="E669" s="207" t="s">
        <v>88</v>
      </c>
      <c r="F669" s="211">
        <f t="shared" si="145"/>
        <v>668</v>
      </c>
      <c r="G669" s="206" t="s">
        <v>44</v>
      </c>
      <c r="H669" s="206"/>
      <c r="I669" s="208"/>
      <c r="J669" s="208"/>
      <c r="K669" s="231"/>
      <c r="L669" s="208"/>
      <c r="M669" s="217"/>
      <c r="N669" s="208"/>
      <c r="O669" s="232"/>
      <c r="P669" s="230"/>
      <c r="Q669" s="240"/>
      <c r="R669" s="242"/>
      <c r="S669" s="240"/>
      <c r="T669" s="243"/>
      <c r="U669" s="196"/>
    </row>
    <row r="670" spans="3:21" s="185" customFormat="1" ht="20.25" customHeight="1">
      <c r="C670" s="198">
        <f>D670</f>
        <v>670</v>
      </c>
      <c r="D670" s="203">
        <f t="shared" si="138"/>
        <v>670</v>
      </c>
      <c r="E670" s="204" t="s">
        <v>89</v>
      </c>
      <c r="F670" s="210">
        <f>D1274</f>
        <v>1264</v>
      </c>
      <c r="G670" s="206"/>
      <c r="H670" s="206"/>
      <c r="I670" s="208"/>
      <c r="J670" s="208"/>
      <c r="K670" s="231"/>
      <c r="L670" s="208"/>
      <c r="M670" s="217"/>
      <c r="N670" s="208"/>
      <c r="O670" s="232"/>
      <c r="P670" s="230"/>
      <c r="Q670" s="240"/>
      <c r="R670" s="242"/>
      <c r="S670" s="240"/>
      <c r="T670" s="243"/>
      <c r="U670" s="196"/>
    </row>
    <row r="671" spans="3:21" s="185" customFormat="1" ht="20.25" customHeight="1">
      <c r="C671" s="198"/>
      <c r="D671" s="203">
        <f t="shared" si="138"/>
        <v>671</v>
      </c>
      <c r="E671" s="207" t="s">
        <v>73</v>
      </c>
      <c r="F671" s="211"/>
      <c r="G671" s="206"/>
      <c r="H671" s="206"/>
      <c r="I671" s="224" t="s">
        <v>74</v>
      </c>
      <c r="J671" s="234" t="s">
        <v>90</v>
      </c>
      <c r="K671" s="231">
        <v>1</v>
      </c>
      <c r="L671" s="208" t="s">
        <v>39</v>
      </c>
      <c r="M671" s="217">
        <v>1</v>
      </c>
      <c r="N671" s="208" t="s">
        <v>50</v>
      </c>
      <c r="O671" s="232">
        <v>2</v>
      </c>
      <c r="P671" s="230" t="s">
        <v>41</v>
      </c>
      <c r="Q671" s="240">
        <f t="shared" ref="Q671:Q672" si="147">M671*O671</f>
        <v>2</v>
      </c>
      <c r="R671" s="242"/>
      <c r="S671" s="240">
        <f t="shared" ref="S671:S732" si="148">ROUND(Q671+R671,2)</f>
        <v>2</v>
      </c>
      <c r="T671" s="216" t="s">
        <v>42</v>
      </c>
      <c r="U671" s="196" t="str">
        <f t="shared" ref="U671:U730" si="149">CONCATENATE(S671," ",T671)</f>
        <v>2 Days</v>
      </c>
    </row>
    <row r="672" spans="3:21" s="185" customFormat="1" ht="20.25" customHeight="1">
      <c r="C672" s="198"/>
      <c r="D672" s="203">
        <f t="shared" si="138"/>
        <v>672</v>
      </c>
      <c r="E672" s="207" t="s">
        <v>91</v>
      </c>
      <c r="F672" s="211">
        <f>D671</f>
        <v>671</v>
      </c>
      <c r="G672" s="206" t="s">
        <v>55</v>
      </c>
      <c r="H672" s="206"/>
      <c r="I672" s="233" t="str">
        <f>I671</f>
        <v>145 t</v>
      </c>
      <c r="J672" s="234" t="s">
        <v>92</v>
      </c>
      <c r="K672" s="231">
        <v>1</v>
      </c>
      <c r="L672" s="208" t="s">
        <v>39</v>
      </c>
      <c r="M672" s="217">
        <v>1</v>
      </c>
      <c r="N672" s="208" t="s">
        <v>50</v>
      </c>
      <c r="O672" s="232">
        <v>5</v>
      </c>
      <c r="P672" s="230" t="s">
        <v>41</v>
      </c>
      <c r="Q672" s="240">
        <f t="shared" si="147"/>
        <v>5</v>
      </c>
      <c r="R672" s="242"/>
      <c r="S672" s="240">
        <f t="shared" si="148"/>
        <v>5</v>
      </c>
      <c r="T672" s="216" t="s">
        <v>42</v>
      </c>
      <c r="U672" s="196" t="str">
        <f t="shared" si="149"/>
        <v>5 Days</v>
      </c>
    </row>
    <row r="673" spans="3:21" s="185" customFormat="1" ht="20.25" customHeight="1">
      <c r="C673" s="198">
        <f>D673</f>
        <v>673</v>
      </c>
      <c r="D673" s="203">
        <f t="shared" si="138"/>
        <v>673</v>
      </c>
      <c r="E673" s="204" t="s">
        <v>93</v>
      </c>
      <c r="F673" s="210"/>
      <c r="G673" s="206"/>
      <c r="H673" s="206"/>
      <c r="I673" s="208"/>
      <c r="J673" s="208"/>
      <c r="K673" s="231"/>
      <c r="L673" s="208"/>
      <c r="M673" s="217"/>
      <c r="N673" s="208"/>
      <c r="O673" s="232"/>
      <c r="P673" s="230"/>
      <c r="Q673" s="240"/>
      <c r="R673" s="242"/>
      <c r="S673" s="240"/>
      <c r="T673" s="243"/>
      <c r="U673" s="196"/>
    </row>
    <row r="674" spans="3:21" s="185" customFormat="1" ht="20.25" customHeight="1">
      <c r="C674" s="198"/>
      <c r="D674" s="203">
        <f t="shared" si="138"/>
        <v>674</v>
      </c>
      <c r="E674" s="207" t="s">
        <v>94</v>
      </c>
      <c r="F674" s="211"/>
      <c r="G674" s="206" t="s">
        <v>55</v>
      </c>
      <c r="H674" s="206"/>
      <c r="I674" s="224" t="str">
        <f>I671</f>
        <v>145 t</v>
      </c>
      <c r="J674" s="208" t="str">
        <f>J664</f>
        <v>1308 holes</v>
      </c>
      <c r="K674" s="231">
        <v>1</v>
      </c>
      <c r="L674" s="208" t="s">
        <v>39</v>
      </c>
      <c r="M674" s="227">
        <f>LEFT(J674,SEARCH(" ",J674,1)-1)*LEFT(I674,SEARCH(" ",I674,1)-1)*K674/1000</f>
        <v>189.66</v>
      </c>
      <c r="N674" s="208" t="s">
        <v>79</v>
      </c>
      <c r="O674" s="229">
        <f>1/1.5^1</f>
        <v>0.66666666666666663</v>
      </c>
      <c r="P674" s="230" t="s">
        <v>47</v>
      </c>
      <c r="Q674" s="240">
        <f>M674*O674/24</f>
        <v>5.2683333333333335</v>
      </c>
      <c r="R674" s="242"/>
      <c r="S674" s="240">
        <f t="shared" si="148"/>
        <v>5.27</v>
      </c>
      <c r="T674" s="216" t="s">
        <v>42</v>
      </c>
      <c r="U674" s="196" t="str">
        <f t="shared" si="149"/>
        <v>5.27 Days</v>
      </c>
    </row>
    <row r="675" spans="3:21" s="185" customFormat="1" ht="20.25" customHeight="1">
      <c r="C675" s="198"/>
      <c r="D675" s="203">
        <f t="shared" si="138"/>
        <v>675</v>
      </c>
      <c r="E675" s="207" t="s">
        <v>688</v>
      </c>
      <c r="F675" s="211">
        <f>D674</f>
        <v>674</v>
      </c>
      <c r="G675" s="206" t="s">
        <v>55</v>
      </c>
      <c r="H675" s="206"/>
      <c r="I675" s="224" t="str">
        <f>I671</f>
        <v>145 t</v>
      </c>
      <c r="J675" s="208" t="str">
        <f>J674</f>
        <v>1308 holes</v>
      </c>
      <c r="K675" s="231">
        <v>1</v>
      </c>
      <c r="L675" s="208" t="s">
        <v>40</v>
      </c>
      <c r="M675" s="227" t="str">
        <f>LEFT(J675,SEARCH(" ",J675,1)-1)</f>
        <v>1308</v>
      </c>
      <c r="N675" s="208" t="s">
        <v>81</v>
      </c>
      <c r="O675" s="229">
        <f>1/60*5</f>
        <v>8.3333333333333329E-2</v>
      </c>
      <c r="P675" s="230" t="s">
        <v>47</v>
      </c>
      <c r="Q675" s="240">
        <f>M675*O675/24</f>
        <v>4.541666666666667</v>
      </c>
      <c r="R675" s="242"/>
      <c r="S675" s="240">
        <f t="shared" si="148"/>
        <v>4.54</v>
      </c>
      <c r="T675" s="216" t="s">
        <v>42</v>
      </c>
      <c r="U675" s="196" t="str">
        <f t="shared" si="149"/>
        <v>4.54 Days</v>
      </c>
    </row>
    <row r="676" spans="3:21" s="185" customFormat="1" ht="20.25" customHeight="1">
      <c r="C676" s="198"/>
      <c r="D676" s="203">
        <f t="shared" si="138"/>
        <v>676</v>
      </c>
      <c r="E676" s="207" t="s">
        <v>689</v>
      </c>
      <c r="F676" s="211">
        <f>D675</f>
        <v>675</v>
      </c>
      <c r="G676" s="206" t="s">
        <v>55</v>
      </c>
      <c r="H676" s="206"/>
      <c r="I676" s="224" t="str">
        <f>I671</f>
        <v>145 t</v>
      </c>
      <c r="J676" s="208"/>
      <c r="K676" s="231">
        <v>1</v>
      </c>
      <c r="L676" s="208" t="s">
        <v>83</v>
      </c>
      <c r="M676" s="235">
        <v>1</v>
      </c>
      <c r="N676" s="208" t="s">
        <v>84</v>
      </c>
      <c r="O676" s="229">
        <v>1</v>
      </c>
      <c r="P676" s="230" t="s">
        <v>41</v>
      </c>
      <c r="Q676" s="240">
        <f>M676*O676</f>
        <v>1</v>
      </c>
      <c r="R676" s="242"/>
      <c r="S676" s="240">
        <f t="shared" si="148"/>
        <v>1</v>
      </c>
      <c r="T676" s="216" t="s">
        <v>42</v>
      </c>
      <c r="U676" s="196" t="str">
        <f t="shared" si="149"/>
        <v>1 Days</v>
      </c>
    </row>
    <row r="677" spans="3:21" s="185" customFormat="1" ht="20.25" customHeight="1">
      <c r="C677" s="198"/>
      <c r="D677" s="203">
        <f t="shared" si="138"/>
        <v>677</v>
      </c>
      <c r="E677" s="207" t="s">
        <v>97</v>
      </c>
      <c r="F677" s="211">
        <f>D676</f>
        <v>676</v>
      </c>
      <c r="G677" s="206" t="s">
        <v>55</v>
      </c>
      <c r="H677" s="206"/>
      <c r="I677" s="224" t="str">
        <f>I671</f>
        <v>145 t</v>
      </c>
      <c r="J677" s="208"/>
      <c r="K677" s="231">
        <v>1</v>
      </c>
      <c r="L677" s="208" t="s">
        <v>83</v>
      </c>
      <c r="M677" s="217">
        <v>1</v>
      </c>
      <c r="N677" s="208" t="s">
        <v>84</v>
      </c>
      <c r="O677" s="232">
        <v>4</v>
      </c>
      <c r="P677" s="230" t="s">
        <v>41</v>
      </c>
      <c r="Q677" s="240">
        <f t="shared" ref="Q677:Q679" si="150">M677*O677</f>
        <v>4</v>
      </c>
      <c r="R677" s="242"/>
      <c r="S677" s="240">
        <f t="shared" si="148"/>
        <v>4</v>
      </c>
      <c r="T677" s="216" t="s">
        <v>42</v>
      </c>
      <c r="U677" s="196" t="str">
        <f t="shared" si="149"/>
        <v>4 Days</v>
      </c>
    </row>
    <row r="678" spans="3:21" s="185" customFormat="1" ht="20.25" customHeight="1">
      <c r="C678" s="198"/>
      <c r="D678" s="203">
        <f t="shared" si="138"/>
        <v>678</v>
      </c>
      <c r="E678" s="207" t="s">
        <v>98</v>
      </c>
      <c r="F678" s="211">
        <f>D677</f>
        <v>677</v>
      </c>
      <c r="G678" s="206" t="s">
        <v>44</v>
      </c>
      <c r="H678" s="206"/>
      <c r="I678" s="224" t="str">
        <f>I671</f>
        <v>145 t</v>
      </c>
      <c r="J678" s="208" t="str">
        <f>J675</f>
        <v>1308 holes</v>
      </c>
      <c r="K678" s="231">
        <v>1</v>
      </c>
      <c r="L678" s="208" t="s">
        <v>40</v>
      </c>
      <c r="M678" s="227" t="str">
        <f>LEFT(J678,SEARCH(" ",J678,1)-1)</f>
        <v>1308</v>
      </c>
      <c r="N678" s="208" t="s">
        <v>40</v>
      </c>
      <c r="O678" s="229">
        <f>1/60*3</f>
        <v>0.05</v>
      </c>
      <c r="P678" s="230" t="s">
        <v>87</v>
      </c>
      <c r="Q678" s="240">
        <f t="shared" si="150"/>
        <v>65.400000000000006</v>
      </c>
      <c r="R678" s="242"/>
      <c r="S678" s="240">
        <f t="shared" si="148"/>
        <v>65.400000000000006</v>
      </c>
      <c r="T678" s="243" t="s">
        <v>48</v>
      </c>
      <c r="U678" s="196" t="str">
        <f t="shared" si="149"/>
        <v>65.4 Hrs</v>
      </c>
    </row>
    <row r="679" spans="3:21" s="185" customFormat="1" ht="20.25" customHeight="1">
      <c r="C679" s="198"/>
      <c r="D679" s="203">
        <f t="shared" si="138"/>
        <v>679</v>
      </c>
      <c r="E679" s="207" t="s">
        <v>99</v>
      </c>
      <c r="F679" s="211">
        <f>D678</f>
        <v>678</v>
      </c>
      <c r="G679" s="206" t="s">
        <v>44</v>
      </c>
      <c r="H679" s="206"/>
      <c r="I679" s="208"/>
      <c r="J679" s="208"/>
      <c r="K679" s="231">
        <v>1</v>
      </c>
      <c r="L679" s="208"/>
      <c r="M679" s="227">
        <v>1050</v>
      </c>
      <c r="N679" s="208" t="s">
        <v>40</v>
      </c>
      <c r="O679" s="229">
        <f>1/60*3</f>
        <v>0.05</v>
      </c>
      <c r="P679" s="230" t="s">
        <v>53</v>
      </c>
      <c r="Q679" s="240">
        <f t="shared" si="150"/>
        <v>52.5</v>
      </c>
      <c r="R679" s="242">
        <v>1</v>
      </c>
      <c r="S679" s="240">
        <f t="shared" si="148"/>
        <v>53.5</v>
      </c>
      <c r="T679" s="243" t="s">
        <v>48</v>
      </c>
      <c r="U679" s="196" t="str">
        <f t="shared" si="149"/>
        <v>53.5 Hrs</v>
      </c>
    </row>
    <row r="680" spans="3:21" s="185" customFormat="1" ht="20.25" customHeight="1">
      <c r="C680" s="198">
        <f t="shared" ref="C680:C681" si="151">D680</f>
        <v>680</v>
      </c>
      <c r="D680" s="203">
        <f t="shared" si="138"/>
        <v>680</v>
      </c>
      <c r="E680" s="204" t="s">
        <v>100</v>
      </c>
      <c r="F680" s="210"/>
      <c r="G680" s="208"/>
      <c r="H680" s="208"/>
      <c r="I680" s="208"/>
      <c r="J680" s="208"/>
      <c r="K680" s="234"/>
      <c r="L680" s="208"/>
      <c r="M680" s="217"/>
      <c r="N680" s="208"/>
      <c r="O680" s="218"/>
      <c r="P680" s="208"/>
      <c r="Q680" s="240"/>
      <c r="R680" s="239"/>
      <c r="S680" s="240"/>
      <c r="T680" s="216"/>
      <c r="U680" s="196"/>
    </row>
    <row r="681" spans="3:21" s="185" customFormat="1" ht="20.25" customHeight="1">
      <c r="C681" s="198">
        <f t="shared" si="151"/>
        <v>681</v>
      </c>
      <c r="D681" s="203">
        <f t="shared" si="138"/>
        <v>681</v>
      </c>
      <c r="E681" s="204" t="s">
        <v>101</v>
      </c>
      <c r="F681" s="210">
        <f>D1099</f>
        <v>1099</v>
      </c>
      <c r="G681" s="206"/>
      <c r="H681" s="206"/>
      <c r="I681" s="208"/>
      <c r="J681" s="208"/>
      <c r="K681" s="234"/>
      <c r="L681" s="208"/>
      <c r="M681" s="217"/>
      <c r="N681" s="208"/>
      <c r="O681" s="218"/>
      <c r="P681" s="208"/>
      <c r="Q681" s="240"/>
      <c r="R681" s="239"/>
      <c r="S681" s="240"/>
      <c r="T681" s="216"/>
      <c r="U681" s="196"/>
    </row>
    <row r="682" spans="3:21" s="185" customFormat="1" ht="20.25" customHeight="1">
      <c r="C682" s="198"/>
      <c r="D682" s="203">
        <f t="shared" si="138"/>
        <v>682</v>
      </c>
      <c r="E682" s="244" t="s">
        <v>102</v>
      </c>
      <c r="F682" s="211"/>
      <c r="G682" s="206" t="s">
        <v>44</v>
      </c>
      <c r="H682" s="206"/>
      <c r="I682" s="224" t="s">
        <v>103</v>
      </c>
      <c r="J682" s="208"/>
      <c r="K682" s="234">
        <v>2</v>
      </c>
      <c r="L682" s="208" t="s">
        <v>81</v>
      </c>
      <c r="M682" s="217">
        <f>K682</f>
        <v>2</v>
      </c>
      <c r="N682" s="208" t="s">
        <v>81</v>
      </c>
      <c r="O682" s="218">
        <v>1</v>
      </c>
      <c r="P682" s="230" t="s">
        <v>87</v>
      </c>
      <c r="Q682" s="240">
        <f t="shared" ref="Q682:Q684" si="152">M682*O682</f>
        <v>2</v>
      </c>
      <c r="R682" s="239">
        <v>1</v>
      </c>
      <c r="S682" s="240">
        <f t="shared" si="148"/>
        <v>3</v>
      </c>
      <c r="T682" s="243" t="s">
        <v>48</v>
      </c>
      <c r="U682" s="196" t="str">
        <f t="shared" si="149"/>
        <v>3 Hrs</v>
      </c>
    </row>
    <row r="683" spans="3:21" s="185" customFormat="1" ht="20.25" customHeight="1">
      <c r="C683" s="198"/>
      <c r="D683" s="203">
        <f t="shared" si="138"/>
        <v>683</v>
      </c>
      <c r="E683" s="244" t="s">
        <v>104</v>
      </c>
      <c r="F683" s="211">
        <f>D682</f>
        <v>682</v>
      </c>
      <c r="G683" s="206" t="s">
        <v>44</v>
      </c>
      <c r="H683" s="206"/>
      <c r="I683" s="224" t="s">
        <v>105</v>
      </c>
      <c r="J683" s="208"/>
      <c r="K683" s="234">
        <v>2</v>
      </c>
      <c r="L683" s="208" t="s">
        <v>81</v>
      </c>
      <c r="M683" s="217">
        <f>K683</f>
        <v>2</v>
      </c>
      <c r="N683" s="208" t="s">
        <v>81</v>
      </c>
      <c r="O683" s="218">
        <v>1</v>
      </c>
      <c r="P683" s="230" t="s">
        <v>87</v>
      </c>
      <c r="Q683" s="240">
        <f t="shared" si="152"/>
        <v>2</v>
      </c>
      <c r="R683" s="239">
        <v>1</v>
      </c>
      <c r="S683" s="240">
        <f t="shared" si="148"/>
        <v>3</v>
      </c>
      <c r="T683" s="243" t="s">
        <v>48</v>
      </c>
      <c r="U683" s="196" t="str">
        <f t="shared" si="149"/>
        <v>3 Hrs</v>
      </c>
    </row>
    <row r="684" spans="3:21" s="185" customFormat="1" ht="20.25" customHeight="1">
      <c r="C684" s="198"/>
      <c r="D684" s="203">
        <f t="shared" si="138"/>
        <v>684</v>
      </c>
      <c r="E684" s="244" t="s">
        <v>106</v>
      </c>
      <c r="F684" s="211">
        <f>D683</f>
        <v>683</v>
      </c>
      <c r="G684" s="206" t="s">
        <v>44</v>
      </c>
      <c r="H684" s="206"/>
      <c r="I684" s="208"/>
      <c r="J684" s="208"/>
      <c r="K684" s="234">
        <f>K683+K682</f>
        <v>4</v>
      </c>
      <c r="L684" s="208" t="s">
        <v>81</v>
      </c>
      <c r="M684" s="217">
        <f>K684</f>
        <v>4</v>
      </c>
      <c r="N684" s="208" t="s">
        <v>81</v>
      </c>
      <c r="O684" s="218">
        <v>0.5</v>
      </c>
      <c r="P684" s="230" t="s">
        <v>87</v>
      </c>
      <c r="Q684" s="240">
        <f t="shared" si="152"/>
        <v>2</v>
      </c>
      <c r="R684" s="239">
        <v>1</v>
      </c>
      <c r="S684" s="240">
        <f t="shared" si="148"/>
        <v>3</v>
      </c>
      <c r="T684" s="243" t="s">
        <v>48</v>
      </c>
      <c r="U684" s="196" t="str">
        <f t="shared" si="149"/>
        <v>3 Hrs</v>
      </c>
    </row>
    <row r="685" spans="3:21" s="185" customFormat="1" ht="20.25" customHeight="1">
      <c r="C685" s="198">
        <f>D685</f>
        <v>685</v>
      </c>
      <c r="D685" s="203">
        <f t="shared" si="138"/>
        <v>685</v>
      </c>
      <c r="E685" s="204" t="s">
        <v>107</v>
      </c>
      <c r="F685" s="210">
        <f>D681</f>
        <v>681</v>
      </c>
      <c r="G685" s="206"/>
      <c r="H685" s="206"/>
      <c r="I685" s="208"/>
      <c r="J685" s="208"/>
      <c r="K685" s="234"/>
      <c r="L685" s="208"/>
      <c r="M685" s="217"/>
      <c r="N685" s="208"/>
      <c r="O685" s="218"/>
      <c r="P685" s="208"/>
      <c r="Q685" s="240"/>
      <c r="R685" s="239"/>
      <c r="S685" s="240"/>
      <c r="T685" s="216"/>
      <c r="U685" s="196"/>
    </row>
    <row r="686" spans="3:21" s="185" customFormat="1" ht="20.25" customHeight="1">
      <c r="C686" s="198"/>
      <c r="D686" s="203">
        <f t="shared" si="138"/>
        <v>686</v>
      </c>
      <c r="E686" s="245" t="s">
        <v>102</v>
      </c>
      <c r="F686" s="211"/>
      <c r="G686" s="206" t="s">
        <v>52</v>
      </c>
      <c r="H686" s="206"/>
      <c r="I686" s="224" t="str">
        <f>I682</f>
        <v>26" nb</v>
      </c>
      <c r="J686" s="208"/>
      <c r="K686" s="234">
        <f>K682</f>
        <v>2</v>
      </c>
      <c r="L686" s="208" t="s">
        <v>81</v>
      </c>
      <c r="M686" s="217">
        <f>K686</f>
        <v>2</v>
      </c>
      <c r="N686" s="208" t="s">
        <v>81</v>
      </c>
      <c r="O686" s="218">
        <v>0</v>
      </c>
      <c r="P686" s="230" t="s">
        <v>87</v>
      </c>
      <c r="Q686" s="240">
        <f t="shared" ref="Q686:Q688" si="153">M686*O686</f>
        <v>0</v>
      </c>
      <c r="R686" s="239">
        <v>0</v>
      </c>
      <c r="S686" s="240"/>
      <c r="T686" s="243" t="s">
        <v>48</v>
      </c>
      <c r="U686" s="196"/>
    </row>
    <row r="687" spans="3:21" s="185" customFormat="1" ht="20.25" customHeight="1">
      <c r="C687" s="198"/>
      <c r="D687" s="203">
        <f t="shared" si="138"/>
        <v>687</v>
      </c>
      <c r="E687" s="245" t="s">
        <v>104</v>
      </c>
      <c r="F687" s="211">
        <f>D686</f>
        <v>686</v>
      </c>
      <c r="G687" s="206" t="s">
        <v>52</v>
      </c>
      <c r="H687" s="206"/>
      <c r="I687" s="224" t="str">
        <f>I683</f>
        <v>2"nb</v>
      </c>
      <c r="J687" s="208"/>
      <c r="K687" s="234">
        <f>K683</f>
        <v>2</v>
      </c>
      <c r="L687" s="208" t="s">
        <v>81</v>
      </c>
      <c r="M687" s="217">
        <f>K687</f>
        <v>2</v>
      </c>
      <c r="N687" s="208" t="s">
        <v>81</v>
      </c>
      <c r="O687" s="218">
        <v>0</v>
      </c>
      <c r="P687" s="230" t="s">
        <v>87</v>
      </c>
      <c r="Q687" s="240">
        <f t="shared" si="153"/>
        <v>0</v>
      </c>
      <c r="R687" s="239">
        <v>0</v>
      </c>
      <c r="S687" s="240"/>
      <c r="T687" s="243" t="s">
        <v>48</v>
      </c>
      <c r="U687" s="196"/>
    </row>
    <row r="688" spans="3:21" s="185" customFormat="1" ht="20.25" customHeight="1">
      <c r="C688" s="198"/>
      <c r="D688" s="203">
        <f t="shared" si="138"/>
        <v>688</v>
      </c>
      <c r="E688" s="245" t="s">
        <v>106</v>
      </c>
      <c r="F688" s="211">
        <f>D687</f>
        <v>687</v>
      </c>
      <c r="G688" s="206" t="s">
        <v>52</v>
      </c>
      <c r="H688" s="206"/>
      <c r="I688" s="208"/>
      <c r="J688" s="208"/>
      <c r="K688" s="234">
        <f>K687+K686</f>
        <v>4</v>
      </c>
      <c r="L688" s="208" t="s">
        <v>81</v>
      </c>
      <c r="M688" s="217">
        <f>K688</f>
        <v>4</v>
      </c>
      <c r="N688" s="208" t="s">
        <v>81</v>
      </c>
      <c r="O688" s="218">
        <v>0</v>
      </c>
      <c r="P688" s="230" t="s">
        <v>87</v>
      </c>
      <c r="Q688" s="240">
        <f t="shared" si="153"/>
        <v>0</v>
      </c>
      <c r="R688" s="239">
        <v>0</v>
      </c>
      <c r="S688" s="240"/>
      <c r="T688" s="243" t="s">
        <v>48</v>
      </c>
      <c r="U688" s="196"/>
    </row>
    <row r="689" spans="3:21" s="185" customFormat="1" ht="20.25" customHeight="1">
      <c r="C689" s="198">
        <f>D689</f>
        <v>689</v>
      </c>
      <c r="D689" s="203">
        <f t="shared" si="138"/>
        <v>689</v>
      </c>
      <c r="E689" s="204" t="s">
        <v>108</v>
      </c>
      <c r="F689" s="210">
        <f>D685</f>
        <v>685</v>
      </c>
      <c r="G689" s="206"/>
      <c r="H689" s="206"/>
      <c r="I689" s="208"/>
      <c r="J689" s="208"/>
      <c r="K689" s="234"/>
      <c r="L689" s="208"/>
      <c r="M689" s="217"/>
      <c r="N689" s="208"/>
      <c r="O689" s="218"/>
      <c r="P689" s="208"/>
      <c r="Q689" s="240"/>
      <c r="R689" s="239"/>
      <c r="S689" s="240"/>
      <c r="T689" s="216"/>
      <c r="U689" s="196"/>
    </row>
    <row r="690" spans="3:21" s="185" customFormat="1" ht="20.25" customHeight="1">
      <c r="C690" s="198"/>
      <c r="D690" s="203">
        <f t="shared" si="138"/>
        <v>690</v>
      </c>
      <c r="E690" s="244" t="s">
        <v>102</v>
      </c>
      <c r="F690" s="211"/>
      <c r="G690" s="206" t="s">
        <v>52</v>
      </c>
      <c r="H690" s="206"/>
      <c r="I690" s="224" t="str">
        <f>I682</f>
        <v>26" nb</v>
      </c>
      <c r="J690" s="208"/>
      <c r="K690" s="234">
        <f>K682</f>
        <v>2</v>
      </c>
      <c r="L690" s="208" t="s">
        <v>81</v>
      </c>
      <c r="M690" s="217">
        <v>2</v>
      </c>
      <c r="N690" s="208" t="s">
        <v>81</v>
      </c>
      <c r="O690" s="218">
        <v>4</v>
      </c>
      <c r="P690" s="208"/>
      <c r="Q690" s="240">
        <f t="shared" ref="Q690:Q692" si="154">M690*O690</f>
        <v>8</v>
      </c>
      <c r="R690" s="239">
        <v>0</v>
      </c>
      <c r="S690" s="240">
        <f t="shared" si="148"/>
        <v>8</v>
      </c>
      <c r="T690" s="243" t="s">
        <v>48</v>
      </c>
      <c r="U690" s="196" t="str">
        <f t="shared" si="149"/>
        <v>8 Hrs</v>
      </c>
    </row>
    <row r="691" spans="3:21" s="185" customFormat="1" ht="20.25" customHeight="1">
      <c r="C691" s="198"/>
      <c r="D691" s="203">
        <f t="shared" si="138"/>
        <v>691</v>
      </c>
      <c r="E691" s="244" t="s">
        <v>104</v>
      </c>
      <c r="F691" s="211">
        <f>D690</f>
        <v>690</v>
      </c>
      <c r="G691" s="206" t="s">
        <v>52</v>
      </c>
      <c r="H691" s="206"/>
      <c r="I691" s="224" t="str">
        <f>I683</f>
        <v>2"nb</v>
      </c>
      <c r="J691" s="208"/>
      <c r="K691" s="234">
        <f>K683</f>
        <v>2</v>
      </c>
      <c r="L691" s="208" t="s">
        <v>81</v>
      </c>
      <c r="M691" s="217">
        <v>2</v>
      </c>
      <c r="N691" s="208" t="s">
        <v>81</v>
      </c>
      <c r="O691" s="218">
        <v>0</v>
      </c>
      <c r="P691" s="208"/>
      <c r="Q691" s="240">
        <f t="shared" si="154"/>
        <v>0</v>
      </c>
      <c r="R691" s="239">
        <v>0</v>
      </c>
      <c r="S691" s="240"/>
      <c r="T691" s="243" t="s">
        <v>48</v>
      </c>
      <c r="U691" s="196"/>
    </row>
    <row r="692" spans="3:21" s="185" customFormat="1" ht="20.25" customHeight="1">
      <c r="C692" s="198"/>
      <c r="D692" s="203">
        <f t="shared" si="138"/>
        <v>692</v>
      </c>
      <c r="E692" s="244" t="s">
        <v>109</v>
      </c>
      <c r="F692" s="211">
        <f>D691</f>
        <v>691</v>
      </c>
      <c r="G692" s="206" t="s">
        <v>52</v>
      </c>
      <c r="H692" s="206"/>
      <c r="I692" s="208"/>
      <c r="J692" s="208"/>
      <c r="K692" s="234">
        <f>K691+K690</f>
        <v>4</v>
      </c>
      <c r="L692" s="208" t="s">
        <v>81</v>
      </c>
      <c r="M692" s="217">
        <v>4</v>
      </c>
      <c r="N692" s="208" t="s">
        <v>81</v>
      </c>
      <c r="O692" s="218">
        <v>0</v>
      </c>
      <c r="P692" s="208"/>
      <c r="Q692" s="240">
        <f t="shared" si="154"/>
        <v>0</v>
      </c>
      <c r="R692" s="239">
        <v>0</v>
      </c>
      <c r="S692" s="240"/>
      <c r="T692" s="243" t="s">
        <v>48</v>
      </c>
      <c r="U692" s="196"/>
    </row>
    <row r="693" spans="3:21" s="185" customFormat="1" ht="20.25" customHeight="1">
      <c r="C693" s="198">
        <f>D693</f>
        <v>693</v>
      </c>
      <c r="D693" s="203">
        <f t="shared" si="138"/>
        <v>693</v>
      </c>
      <c r="E693" s="204" t="s">
        <v>110</v>
      </c>
      <c r="F693" s="210">
        <f>D689</f>
        <v>689</v>
      </c>
      <c r="G693" s="206"/>
      <c r="H693" s="206"/>
      <c r="I693" s="208"/>
      <c r="J693" s="208"/>
      <c r="K693" s="234"/>
      <c r="L693" s="208"/>
      <c r="M693" s="217"/>
      <c r="N693" s="208"/>
      <c r="O693" s="218"/>
      <c r="P693" s="208"/>
      <c r="Q693" s="240"/>
      <c r="R693" s="239"/>
      <c r="S693" s="240"/>
      <c r="T693" s="216"/>
      <c r="U693" s="196"/>
    </row>
    <row r="694" spans="3:21" s="185" customFormat="1" ht="20.25" customHeight="1">
      <c r="C694" s="198"/>
      <c r="D694" s="203">
        <f t="shared" si="138"/>
        <v>694</v>
      </c>
      <c r="E694" s="245" t="s">
        <v>102</v>
      </c>
      <c r="F694" s="211"/>
      <c r="G694" s="206" t="s">
        <v>111</v>
      </c>
      <c r="H694" s="206"/>
      <c r="I694" s="224" t="str">
        <f>I682</f>
        <v>26" nb</v>
      </c>
      <c r="J694" s="208"/>
      <c r="K694" s="234">
        <v>2</v>
      </c>
      <c r="L694" s="208" t="s">
        <v>50</v>
      </c>
      <c r="M694" s="217">
        <v>2</v>
      </c>
      <c r="N694" s="208" t="s">
        <v>50</v>
      </c>
      <c r="O694" s="218">
        <v>4</v>
      </c>
      <c r="P694" s="208" t="s">
        <v>112</v>
      </c>
      <c r="Q694" s="240">
        <f t="shared" ref="Q694:Q696" si="155">M694*O694</f>
        <v>8</v>
      </c>
      <c r="R694" s="239">
        <v>1</v>
      </c>
      <c r="S694" s="240">
        <f t="shared" si="148"/>
        <v>9</v>
      </c>
      <c r="T694" s="243" t="s">
        <v>48</v>
      </c>
      <c r="U694" s="196" t="str">
        <f t="shared" si="149"/>
        <v>9 Hrs</v>
      </c>
    </row>
    <row r="695" spans="3:21" s="185" customFormat="1" ht="20.25" customHeight="1">
      <c r="C695" s="198"/>
      <c r="D695" s="203">
        <f t="shared" si="138"/>
        <v>695</v>
      </c>
      <c r="E695" s="245" t="s">
        <v>104</v>
      </c>
      <c r="F695" s="211">
        <f>D694</f>
        <v>694</v>
      </c>
      <c r="G695" s="206" t="s">
        <v>111</v>
      </c>
      <c r="H695" s="206"/>
      <c r="I695" s="224" t="str">
        <f>I683</f>
        <v>2"nb</v>
      </c>
      <c r="J695" s="208"/>
      <c r="K695" s="234">
        <v>2</v>
      </c>
      <c r="L695" s="208" t="s">
        <v>50</v>
      </c>
      <c r="M695" s="217">
        <v>2</v>
      </c>
      <c r="N695" s="208" t="s">
        <v>50</v>
      </c>
      <c r="O695" s="218">
        <v>0</v>
      </c>
      <c r="P695" s="208" t="s">
        <v>112</v>
      </c>
      <c r="Q695" s="240">
        <f t="shared" si="155"/>
        <v>0</v>
      </c>
      <c r="R695" s="239">
        <v>1</v>
      </c>
      <c r="S695" s="240">
        <f t="shared" si="148"/>
        <v>1</v>
      </c>
      <c r="T695" s="243" t="s">
        <v>48</v>
      </c>
      <c r="U695" s="196" t="str">
        <f t="shared" si="149"/>
        <v>1 Hrs</v>
      </c>
    </row>
    <row r="696" spans="3:21" s="185" customFormat="1" ht="20.25" customHeight="1">
      <c r="C696" s="198"/>
      <c r="D696" s="203">
        <f t="shared" si="138"/>
        <v>696</v>
      </c>
      <c r="E696" s="245" t="s">
        <v>113</v>
      </c>
      <c r="F696" s="211">
        <f>D695</f>
        <v>695</v>
      </c>
      <c r="G696" s="206" t="s">
        <v>111</v>
      </c>
      <c r="H696" s="206"/>
      <c r="I696" s="208"/>
      <c r="J696" s="208"/>
      <c r="K696" s="234">
        <v>4</v>
      </c>
      <c r="L696" s="208" t="s">
        <v>50</v>
      </c>
      <c r="M696" s="217">
        <v>4</v>
      </c>
      <c r="N696" s="208" t="s">
        <v>50</v>
      </c>
      <c r="O696" s="218">
        <v>0.25</v>
      </c>
      <c r="P696" s="208" t="s">
        <v>112</v>
      </c>
      <c r="Q696" s="240">
        <f t="shared" si="155"/>
        <v>1</v>
      </c>
      <c r="R696" s="239">
        <v>1</v>
      </c>
      <c r="S696" s="240">
        <f t="shared" si="148"/>
        <v>2</v>
      </c>
      <c r="T696" s="243" t="s">
        <v>48</v>
      </c>
      <c r="U696" s="196" t="str">
        <f t="shared" si="149"/>
        <v>2 Hrs</v>
      </c>
    </row>
    <row r="697" spans="3:21" s="185" customFormat="1" ht="20.25" customHeight="1">
      <c r="C697" s="198">
        <f>D697</f>
        <v>697</v>
      </c>
      <c r="D697" s="203">
        <f t="shared" si="138"/>
        <v>697</v>
      </c>
      <c r="E697" s="204" t="s">
        <v>114</v>
      </c>
      <c r="F697" s="210">
        <f>D693</f>
        <v>693</v>
      </c>
      <c r="G697" s="206"/>
      <c r="H697" s="206"/>
      <c r="I697" s="208"/>
      <c r="J697" s="208"/>
      <c r="K697" s="234"/>
      <c r="L697" s="208"/>
      <c r="M697" s="217"/>
      <c r="N697" s="208"/>
      <c r="O697" s="218"/>
      <c r="P697" s="208"/>
      <c r="Q697" s="240"/>
      <c r="R697" s="239"/>
      <c r="S697" s="240"/>
      <c r="T697" s="216"/>
      <c r="U697" s="196"/>
    </row>
    <row r="698" spans="3:21" s="185" customFormat="1" ht="20.25" customHeight="1">
      <c r="C698" s="198"/>
      <c r="D698" s="203">
        <f t="shared" si="138"/>
        <v>698</v>
      </c>
      <c r="E698" s="244" t="s">
        <v>102</v>
      </c>
      <c r="F698" s="211"/>
      <c r="G698" s="206" t="s">
        <v>115</v>
      </c>
      <c r="H698" s="206"/>
      <c r="I698" s="224" t="s">
        <v>116</v>
      </c>
      <c r="J698" s="234" t="s">
        <v>117</v>
      </c>
      <c r="K698" s="234">
        <v>2</v>
      </c>
      <c r="L698" s="208" t="s">
        <v>50</v>
      </c>
      <c r="M698" s="227">
        <f>LEFT(J698,SEARCH(" ",J698,1)-1)*K698*0.001</f>
        <v>6.1080000000000005</v>
      </c>
      <c r="N698" s="208" t="s">
        <v>50</v>
      </c>
      <c r="O698" s="246">
        <f>6.12</f>
        <v>6.12</v>
      </c>
      <c r="P698" s="208" t="s">
        <v>112</v>
      </c>
      <c r="Q698" s="240">
        <f>M698*O698</f>
        <v>37.380960000000002</v>
      </c>
      <c r="R698" s="239">
        <v>1</v>
      </c>
      <c r="S698" s="240">
        <f t="shared" si="148"/>
        <v>38.380000000000003</v>
      </c>
      <c r="T698" s="243" t="s">
        <v>48</v>
      </c>
      <c r="U698" s="196" t="str">
        <f t="shared" si="149"/>
        <v>38.38 Hrs</v>
      </c>
    </row>
    <row r="699" spans="3:21" s="185" customFormat="1" ht="20.25" customHeight="1">
      <c r="C699" s="198"/>
      <c r="D699" s="203">
        <f t="shared" si="138"/>
        <v>699</v>
      </c>
      <c r="E699" s="244" t="s">
        <v>104</v>
      </c>
      <c r="F699" s="211">
        <f>D698</f>
        <v>698</v>
      </c>
      <c r="G699" s="206" t="s">
        <v>115</v>
      </c>
      <c r="H699" s="206"/>
      <c r="I699" s="224" t="str">
        <f>I687</f>
        <v>2"nb</v>
      </c>
      <c r="J699" s="234" t="s">
        <v>118</v>
      </c>
      <c r="K699" s="234">
        <v>2</v>
      </c>
      <c r="L699" s="208" t="s">
        <v>50</v>
      </c>
      <c r="M699" s="217">
        <v>0</v>
      </c>
      <c r="N699" s="208" t="s">
        <v>50</v>
      </c>
      <c r="O699" s="246"/>
      <c r="P699" s="208" t="s">
        <v>112</v>
      </c>
      <c r="Q699" s="240">
        <f t="shared" ref="Q699:Q700" si="156">M699*O699</f>
        <v>0</v>
      </c>
      <c r="R699" s="239"/>
      <c r="S699" s="240"/>
      <c r="T699" s="243" t="s">
        <v>48</v>
      </c>
      <c r="U699" s="196"/>
    </row>
    <row r="700" spans="3:21" s="185" customFormat="1" ht="20.25" customHeight="1">
      <c r="C700" s="198"/>
      <c r="D700" s="203">
        <f t="shared" si="138"/>
        <v>700</v>
      </c>
      <c r="E700" s="244" t="s">
        <v>109</v>
      </c>
      <c r="F700" s="211">
        <f>D699</f>
        <v>699</v>
      </c>
      <c r="G700" s="206" t="s">
        <v>115</v>
      </c>
      <c r="H700" s="206"/>
      <c r="I700" s="208"/>
      <c r="J700" s="208"/>
      <c r="K700" s="234">
        <v>4</v>
      </c>
      <c r="L700" s="208" t="s">
        <v>50</v>
      </c>
      <c r="M700" s="217">
        <v>4</v>
      </c>
      <c r="N700" s="208" t="s">
        <v>50</v>
      </c>
      <c r="O700" s="218">
        <v>0.25</v>
      </c>
      <c r="P700" s="208" t="s">
        <v>112</v>
      </c>
      <c r="Q700" s="240">
        <f t="shared" si="156"/>
        <v>1</v>
      </c>
      <c r="R700" s="239">
        <v>1</v>
      </c>
      <c r="S700" s="240">
        <f t="shared" si="148"/>
        <v>2</v>
      </c>
      <c r="T700" s="243" t="s">
        <v>48</v>
      </c>
      <c r="U700" s="196" t="str">
        <f t="shared" si="149"/>
        <v>2 Hrs</v>
      </c>
    </row>
    <row r="701" spans="3:21" s="185" customFormat="1" ht="20.25" customHeight="1">
      <c r="C701" s="198">
        <f>D701</f>
        <v>701</v>
      </c>
      <c r="D701" s="203">
        <f t="shared" si="138"/>
        <v>701</v>
      </c>
      <c r="E701" s="204" t="s">
        <v>119</v>
      </c>
      <c r="F701" s="210">
        <f>D697</f>
        <v>697</v>
      </c>
      <c r="G701" s="206"/>
      <c r="H701" s="206"/>
      <c r="I701" s="208"/>
      <c r="J701" s="208"/>
      <c r="K701" s="234"/>
      <c r="L701" s="208"/>
      <c r="M701" s="217"/>
      <c r="N701" s="208"/>
      <c r="O701" s="218"/>
      <c r="P701" s="208"/>
      <c r="Q701" s="240"/>
      <c r="R701" s="239"/>
      <c r="S701" s="240"/>
      <c r="T701" s="216"/>
      <c r="U701" s="196"/>
    </row>
    <row r="702" spans="3:21" s="185" customFormat="1" ht="20.25" customHeight="1">
      <c r="C702" s="198"/>
      <c r="D702" s="203">
        <f t="shared" si="138"/>
        <v>702</v>
      </c>
      <c r="E702" s="245" t="s">
        <v>102</v>
      </c>
      <c r="F702" s="211"/>
      <c r="G702" s="206" t="s">
        <v>44</v>
      </c>
      <c r="H702" s="206"/>
      <c r="I702" s="224" t="str">
        <f>I690</f>
        <v>26" nb</v>
      </c>
      <c r="J702" s="208"/>
      <c r="K702" s="234">
        <v>2</v>
      </c>
      <c r="L702" s="208" t="s">
        <v>50</v>
      </c>
      <c r="M702" s="217">
        <v>1</v>
      </c>
      <c r="N702" s="208" t="s">
        <v>50</v>
      </c>
      <c r="O702" s="246">
        <v>4</v>
      </c>
      <c r="P702" s="208" t="s">
        <v>112</v>
      </c>
      <c r="Q702" s="240">
        <f t="shared" ref="Q702:Q704" si="157">M702*O702</f>
        <v>4</v>
      </c>
      <c r="R702" s="239">
        <v>1</v>
      </c>
      <c r="S702" s="240">
        <f t="shared" si="148"/>
        <v>5</v>
      </c>
      <c r="T702" s="243" t="s">
        <v>48</v>
      </c>
      <c r="U702" s="196" t="str">
        <f t="shared" si="149"/>
        <v>5 Hrs</v>
      </c>
    </row>
    <row r="703" spans="3:21" s="185" customFormat="1" ht="20.25" customHeight="1">
      <c r="C703" s="198"/>
      <c r="D703" s="203">
        <f t="shared" si="138"/>
        <v>703</v>
      </c>
      <c r="E703" s="245" t="s">
        <v>104</v>
      </c>
      <c r="F703" s="211">
        <f>D702</f>
        <v>702</v>
      </c>
      <c r="G703" s="206" t="s">
        <v>44</v>
      </c>
      <c r="H703" s="206"/>
      <c r="I703" s="224" t="str">
        <f>I691</f>
        <v>2"nb</v>
      </c>
      <c r="J703" s="208"/>
      <c r="K703" s="234">
        <v>2</v>
      </c>
      <c r="L703" s="208" t="s">
        <v>50</v>
      </c>
      <c r="M703" s="217">
        <v>1</v>
      </c>
      <c r="N703" s="208" t="s">
        <v>50</v>
      </c>
      <c r="O703" s="246">
        <v>1</v>
      </c>
      <c r="P703" s="208" t="s">
        <v>112</v>
      </c>
      <c r="Q703" s="240">
        <f t="shared" si="157"/>
        <v>1</v>
      </c>
      <c r="R703" s="239">
        <v>1</v>
      </c>
      <c r="S703" s="240">
        <f t="shared" si="148"/>
        <v>2</v>
      </c>
      <c r="T703" s="243" t="s">
        <v>48</v>
      </c>
      <c r="U703" s="196" t="str">
        <f t="shared" si="149"/>
        <v>2 Hrs</v>
      </c>
    </row>
    <row r="704" spans="3:21" s="185" customFormat="1" ht="20.25" customHeight="1">
      <c r="C704" s="198"/>
      <c r="D704" s="203">
        <f t="shared" si="138"/>
        <v>704</v>
      </c>
      <c r="E704" s="245" t="s">
        <v>109</v>
      </c>
      <c r="F704" s="211">
        <f>D703</f>
        <v>703</v>
      </c>
      <c r="G704" s="206" t="s">
        <v>44</v>
      </c>
      <c r="H704" s="206"/>
      <c r="I704" s="208"/>
      <c r="J704" s="208"/>
      <c r="K704" s="234">
        <v>4</v>
      </c>
      <c r="L704" s="208" t="s">
        <v>50</v>
      </c>
      <c r="M704" s="217">
        <v>1</v>
      </c>
      <c r="N704" s="208" t="s">
        <v>50</v>
      </c>
      <c r="O704" s="218">
        <v>1</v>
      </c>
      <c r="P704" s="208" t="s">
        <v>112</v>
      </c>
      <c r="Q704" s="240">
        <f t="shared" si="157"/>
        <v>1</v>
      </c>
      <c r="R704" s="239">
        <v>1</v>
      </c>
      <c r="S704" s="240">
        <f t="shared" si="148"/>
        <v>2</v>
      </c>
      <c r="T704" s="243" t="s">
        <v>48</v>
      </c>
      <c r="U704" s="196" t="str">
        <f t="shared" si="149"/>
        <v>2 Hrs</v>
      </c>
    </row>
    <row r="705" spans="3:21" s="185" customFormat="1" ht="20.25" customHeight="1">
      <c r="C705" s="198">
        <f>D705</f>
        <v>705</v>
      </c>
      <c r="D705" s="203">
        <f t="shared" si="138"/>
        <v>705</v>
      </c>
      <c r="E705" s="204" t="s">
        <v>690</v>
      </c>
      <c r="F705" s="210">
        <f>D701</f>
        <v>701</v>
      </c>
      <c r="G705" s="206"/>
      <c r="H705" s="206"/>
      <c r="I705" s="208"/>
      <c r="J705" s="208"/>
      <c r="K705" s="234"/>
      <c r="L705" s="208"/>
      <c r="M705" s="217"/>
      <c r="N705" s="208"/>
      <c r="O705" s="218"/>
      <c r="P705" s="208"/>
      <c r="Q705" s="240"/>
      <c r="R705" s="239"/>
      <c r="S705" s="240"/>
      <c r="T705" s="216"/>
      <c r="U705" s="196"/>
    </row>
    <row r="706" spans="3:21" s="185" customFormat="1" ht="20.25" customHeight="1">
      <c r="C706" s="198"/>
      <c r="D706" s="203">
        <f t="shared" si="138"/>
        <v>706</v>
      </c>
      <c r="E706" s="244" t="s">
        <v>102</v>
      </c>
      <c r="F706" s="211"/>
      <c r="G706" s="206" t="s">
        <v>121</v>
      </c>
      <c r="H706" s="206"/>
      <c r="I706" s="224" t="str">
        <f>I694</f>
        <v>26" nb</v>
      </c>
      <c r="J706" s="208"/>
      <c r="K706" s="234">
        <v>2</v>
      </c>
      <c r="L706" s="208" t="s">
        <v>50</v>
      </c>
      <c r="M706" s="217">
        <v>0</v>
      </c>
      <c r="N706" s="208" t="s">
        <v>50</v>
      </c>
      <c r="O706" s="246"/>
      <c r="P706" s="208" t="s">
        <v>112</v>
      </c>
      <c r="Q706" s="240">
        <f t="shared" ref="Q706:Q708" si="158">M706*O706</f>
        <v>0</v>
      </c>
      <c r="R706" s="239">
        <v>1</v>
      </c>
      <c r="S706" s="240">
        <f t="shared" si="148"/>
        <v>1</v>
      </c>
      <c r="T706" s="243" t="s">
        <v>48</v>
      </c>
      <c r="U706" s="196" t="str">
        <f t="shared" si="149"/>
        <v>1 Hrs</v>
      </c>
    </row>
    <row r="707" spans="3:21" s="185" customFormat="1" ht="20.25" customHeight="1">
      <c r="C707" s="198"/>
      <c r="D707" s="203">
        <f t="shared" si="138"/>
        <v>707</v>
      </c>
      <c r="E707" s="244" t="s">
        <v>104</v>
      </c>
      <c r="F707" s="211">
        <f>D706</f>
        <v>706</v>
      </c>
      <c r="G707" s="206" t="s">
        <v>121</v>
      </c>
      <c r="H707" s="206"/>
      <c r="I707" s="224" t="str">
        <f>I695</f>
        <v>2"nb</v>
      </c>
      <c r="J707" s="208"/>
      <c r="K707" s="234">
        <v>2</v>
      </c>
      <c r="L707" s="208" t="s">
        <v>50</v>
      </c>
      <c r="M707" s="217">
        <v>0</v>
      </c>
      <c r="N707" s="208" t="s">
        <v>50</v>
      </c>
      <c r="O707" s="246"/>
      <c r="P707" s="208" t="s">
        <v>112</v>
      </c>
      <c r="Q707" s="240">
        <f t="shared" si="158"/>
        <v>0</v>
      </c>
      <c r="R707" s="239">
        <v>1</v>
      </c>
      <c r="S707" s="240">
        <f t="shared" si="148"/>
        <v>1</v>
      </c>
      <c r="T707" s="243" t="s">
        <v>48</v>
      </c>
      <c r="U707" s="196" t="str">
        <f t="shared" si="149"/>
        <v>1 Hrs</v>
      </c>
    </row>
    <row r="708" spans="3:21" s="185" customFormat="1" ht="20.25" customHeight="1">
      <c r="C708" s="198"/>
      <c r="D708" s="203">
        <f t="shared" ref="D708:D771" si="159">D707+1</f>
        <v>708</v>
      </c>
      <c r="E708" s="244" t="s">
        <v>109</v>
      </c>
      <c r="F708" s="211">
        <f>D707</f>
        <v>707</v>
      </c>
      <c r="G708" s="206" t="s">
        <v>121</v>
      </c>
      <c r="H708" s="206"/>
      <c r="I708" s="208"/>
      <c r="J708" s="208"/>
      <c r="K708" s="234">
        <v>4</v>
      </c>
      <c r="L708" s="208" t="s">
        <v>50</v>
      </c>
      <c r="M708" s="217">
        <v>0</v>
      </c>
      <c r="N708" s="208" t="s">
        <v>50</v>
      </c>
      <c r="O708" s="218"/>
      <c r="P708" s="208" t="s">
        <v>112</v>
      </c>
      <c r="Q708" s="240">
        <f t="shared" si="158"/>
        <v>0</v>
      </c>
      <c r="R708" s="239">
        <v>1</v>
      </c>
      <c r="S708" s="240">
        <f t="shared" si="148"/>
        <v>1</v>
      </c>
      <c r="T708" s="243" t="s">
        <v>48</v>
      </c>
      <c r="U708" s="196" t="str">
        <f t="shared" si="149"/>
        <v>1 Hrs</v>
      </c>
    </row>
    <row r="709" spans="3:21" s="185" customFormat="1" ht="20.25" customHeight="1">
      <c r="C709" s="198">
        <f>D709</f>
        <v>709</v>
      </c>
      <c r="D709" s="203">
        <f t="shared" si="159"/>
        <v>709</v>
      </c>
      <c r="E709" s="204" t="s">
        <v>122</v>
      </c>
      <c r="F709" s="210">
        <f>D705</f>
        <v>705</v>
      </c>
      <c r="G709" s="206"/>
      <c r="H709" s="206"/>
      <c r="I709" s="208"/>
      <c r="J709" s="208"/>
      <c r="K709" s="234"/>
      <c r="L709" s="208"/>
      <c r="M709" s="217"/>
      <c r="N709" s="208"/>
      <c r="O709" s="218"/>
      <c r="P709" s="208"/>
      <c r="Q709" s="240"/>
      <c r="R709" s="239"/>
      <c r="S709" s="240"/>
      <c r="T709" s="216"/>
      <c r="U709" s="196"/>
    </row>
    <row r="710" spans="3:21" s="185" customFormat="1" ht="20.25" customHeight="1">
      <c r="C710" s="198"/>
      <c r="D710" s="203">
        <f t="shared" si="159"/>
        <v>710</v>
      </c>
      <c r="E710" s="245" t="s">
        <v>102</v>
      </c>
      <c r="F710" s="211"/>
      <c r="G710" s="206" t="s">
        <v>121</v>
      </c>
      <c r="H710" s="206"/>
      <c r="I710" s="224" t="s">
        <v>123</v>
      </c>
      <c r="J710" s="208" t="str">
        <f>J698</f>
        <v>3054 mm</v>
      </c>
      <c r="K710" s="234">
        <v>2</v>
      </c>
      <c r="L710" s="208" t="s">
        <v>50</v>
      </c>
      <c r="M710" s="227">
        <f>LEFT(J710,SEARCH(" ",J710,1)-1)*K710*0.001</f>
        <v>6.1080000000000005</v>
      </c>
      <c r="N710" s="208" t="s">
        <v>50</v>
      </c>
      <c r="O710" s="246">
        <v>1</v>
      </c>
      <c r="P710" s="208" t="s">
        <v>112</v>
      </c>
      <c r="Q710" s="240">
        <f t="shared" ref="Q710:Q712" si="160">M710*O710</f>
        <v>6.1080000000000005</v>
      </c>
      <c r="R710" s="239">
        <v>1</v>
      </c>
      <c r="S710" s="240">
        <f t="shared" si="148"/>
        <v>7.11</v>
      </c>
      <c r="T710" s="243" t="s">
        <v>48</v>
      </c>
      <c r="U710" s="196" t="str">
        <f t="shared" si="149"/>
        <v>7.11 Hrs</v>
      </c>
    </row>
    <row r="711" spans="3:21" s="185" customFormat="1" ht="20.25" customHeight="1">
      <c r="C711" s="198"/>
      <c r="D711" s="203">
        <f t="shared" si="159"/>
        <v>711</v>
      </c>
      <c r="E711" s="245" t="s">
        <v>104</v>
      </c>
      <c r="F711" s="211">
        <f t="shared" ref="F711:F712" si="161">D710</f>
        <v>710</v>
      </c>
      <c r="G711" s="206" t="s">
        <v>121</v>
      </c>
      <c r="H711" s="206"/>
      <c r="I711" s="224">
        <v>18</v>
      </c>
      <c r="J711" s="211" t="str">
        <f>J699</f>
        <v>272 MM</v>
      </c>
      <c r="K711" s="234">
        <v>2</v>
      </c>
      <c r="L711" s="208" t="s">
        <v>50</v>
      </c>
      <c r="M711" s="227">
        <f>LEFT(J711,SEARCH(" ",J711,1)-1)*K711*0.001</f>
        <v>0.54400000000000004</v>
      </c>
      <c r="N711" s="208" t="s">
        <v>50</v>
      </c>
      <c r="O711" s="246">
        <v>0.5</v>
      </c>
      <c r="P711" s="208" t="s">
        <v>112</v>
      </c>
      <c r="Q711" s="240">
        <f t="shared" si="160"/>
        <v>0.27200000000000002</v>
      </c>
      <c r="R711" s="239">
        <v>1</v>
      </c>
      <c r="S711" s="240">
        <f t="shared" si="148"/>
        <v>1.27</v>
      </c>
      <c r="T711" s="243" t="s">
        <v>48</v>
      </c>
      <c r="U711" s="196" t="str">
        <f t="shared" si="149"/>
        <v>1.27 Hrs</v>
      </c>
    </row>
    <row r="712" spans="3:21" s="185" customFormat="1" ht="20.25" customHeight="1">
      <c r="C712" s="198"/>
      <c r="D712" s="203">
        <f t="shared" si="159"/>
        <v>712</v>
      </c>
      <c r="E712" s="245" t="s">
        <v>109</v>
      </c>
      <c r="F712" s="211">
        <f t="shared" si="161"/>
        <v>711</v>
      </c>
      <c r="G712" s="206" t="s">
        <v>121</v>
      </c>
      <c r="H712" s="206"/>
      <c r="I712" s="208"/>
      <c r="J712" s="208"/>
      <c r="K712" s="234">
        <v>4</v>
      </c>
      <c r="L712" s="208" t="s">
        <v>50</v>
      </c>
      <c r="M712" s="217">
        <v>1</v>
      </c>
      <c r="N712" s="208" t="s">
        <v>50</v>
      </c>
      <c r="O712" s="218">
        <v>1</v>
      </c>
      <c r="P712" s="208" t="s">
        <v>112</v>
      </c>
      <c r="Q712" s="240">
        <f t="shared" si="160"/>
        <v>1</v>
      </c>
      <c r="R712" s="239">
        <v>1</v>
      </c>
      <c r="S712" s="240">
        <f t="shared" si="148"/>
        <v>2</v>
      </c>
      <c r="T712" s="243" t="s">
        <v>48</v>
      </c>
      <c r="U712" s="196" t="str">
        <f t="shared" si="149"/>
        <v>2 Hrs</v>
      </c>
    </row>
    <row r="713" spans="3:21" s="185" customFormat="1" ht="20.25" customHeight="1">
      <c r="C713" s="198">
        <f>D713</f>
        <v>713</v>
      </c>
      <c r="D713" s="203">
        <f t="shared" si="159"/>
        <v>713</v>
      </c>
      <c r="E713" s="204" t="s">
        <v>124</v>
      </c>
      <c r="F713" s="210">
        <f>D709</f>
        <v>709</v>
      </c>
      <c r="G713" s="206"/>
      <c r="H713" s="206"/>
      <c r="I713" s="208"/>
      <c r="J713" s="208"/>
      <c r="K713" s="234"/>
      <c r="L713" s="208"/>
      <c r="M713" s="217"/>
      <c r="N713" s="208"/>
      <c r="O713" s="218"/>
      <c r="P713" s="208"/>
      <c r="Q713" s="240"/>
      <c r="R713" s="239"/>
      <c r="S713" s="240"/>
      <c r="T713" s="216"/>
      <c r="U713" s="196"/>
    </row>
    <row r="714" spans="3:21" s="185" customFormat="1" ht="20.25" customHeight="1">
      <c r="C714" s="198"/>
      <c r="D714" s="203">
        <f t="shared" si="159"/>
        <v>714</v>
      </c>
      <c r="E714" s="207" t="s">
        <v>125</v>
      </c>
      <c r="F714" s="211"/>
      <c r="G714" s="206" t="s">
        <v>44</v>
      </c>
      <c r="H714" s="206"/>
      <c r="I714" s="224" t="s">
        <v>103</v>
      </c>
      <c r="J714" s="208" t="str">
        <f>J710</f>
        <v>3054 mm</v>
      </c>
      <c r="K714" s="234">
        <v>2</v>
      </c>
      <c r="L714" s="208" t="s">
        <v>81</v>
      </c>
      <c r="M714" s="217">
        <f>K714</f>
        <v>2</v>
      </c>
      <c r="N714" s="208" t="s">
        <v>81</v>
      </c>
      <c r="O714" s="218">
        <v>1</v>
      </c>
      <c r="P714" s="208"/>
      <c r="Q714" s="240">
        <f t="shared" ref="Q714:Q716" si="162">M714*O714</f>
        <v>2</v>
      </c>
      <c r="R714" s="239">
        <v>1</v>
      </c>
      <c r="S714" s="240">
        <f t="shared" si="148"/>
        <v>3</v>
      </c>
      <c r="T714" s="243" t="s">
        <v>48</v>
      </c>
      <c r="U714" s="196" t="str">
        <f t="shared" si="149"/>
        <v>3 Hrs</v>
      </c>
    </row>
    <row r="715" spans="3:21" s="185" customFormat="1" ht="20.25" customHeight="1">
      <c r="C715" s="198"/>
      <c r="D715" s="203">
        <f t="shared" si="159"/>
        <v>715</v>
      </c>
      <c r="E715" s="207" t="s">
        <v>104</v>
      </c>
      <c r="F715" s="211">
        <f t="shared" ref="F715:F716" si="163">D714</f>
        <v>714</v>
      </c>
      <c r="G715" s="206" t="s">
        <v>44</v>
      </c>
      <c r="H715" s="206"/>
      <c r="I715" s="224" t="s">
        <v>105</v>
      </c>
      <c r="J715" s="208" t="str">
        <f>J711</f>
        <v>272 MM</v>
      </c>
      <c r="K715" s="234">
        <v>2</v>
      </c>
      <c r="L715" s="208" t="s">
        <v>81</v>
      </c>
      <c r="M715" s="217">
        <f>K715</f>
        <v>2</v>
      </c>
      <c r="N715" s="208" t="s">
        <v>81</v>
      </c>
      <c r="O715" s="218">
        <v>1</v>
      </c>
      <c r="P715" s="208"/>
      <c r="Q715" s="240">
        <f t="shared" si="162"/>
        <v>2</v>
      </c>
      <c r="R715" s="239">
        <v>1</v>
      </c>
      <c r="S715" s="240">
        <f t="shared" si="148"/>
        <v>3</v>
      </c>
      <c r="T715" s="243" t="s">
        <v>48</v>
      </c>
      <c r="U715" s="196" t="str">
        <f t="shared" si="149"/>
        <v>3 Hrs</v>
      </c>
    </row>
    <row r="716" spans="3:21" s="185" customFormat="1" ht="20.25" customHeight="1">
      <c r="C716" s="198"/>
      <c r="D716" s="203">
        <f t="shared" si="159"/>
        <v>716</v>
      </c>
      <c r="E716" s="207" t="s">
        <v>109</v>
      </c>
      <c r="F716" s="211">
        <f t="shared" si="163"/>
        <v>715</v>
      </c>
      <c r="G716" s="206" t="s">
        <v>44</v>
      </c>
      <c r="H716" s="206"/>
      <c r="I716" s="208"/>
      <c r="J716" s="208"/>
      <c r="K716" s="234">
        <f>K715+K714</f>
        <v>4</v>
      </c>
      <c r="L716" s="208" t="s">
        <v>81</v>
      </c>
      <c r="M716" s="217">
        <f>K716</f>
        <v>4</v>
      </c>
      <c r="N716" s="208" t="s">
        <v>81</v>
      </c>
      <c r="O716" s="218">
        <v>0.5</v>
      </c>
      <c r="P716" s="208"/>
      <c r="Q716" s="240">
        <f t="shared" si="162"/>
        <v>2</v>
      </c>
      <c r="R716" s="239">
        <v>1</v>
      </c>
      <c r="S716" s="240">
        <f t="shared" si="148"/>
        <v>3</v>
      </c>
      <c r="T716" s="243" t="s">
        <v>48</v>
      </c>
      <c r="U716" s="196" t="str">
        <f t="shared" si="149"/>
        <v>3 Hrs</v>
      </c>
    </row>
    <row r="717" spans="3:21" s="185" customFormat="1" ht="20.25" customHeight="1">
      <c r="C717" s="198">
        <f>D717</f>
        <v>717</v>
      </c>
      <c r="D717" s="203">
        <f t="shared" si="159"/>
        <v>717</v>
      </c>
      <c r="E717" s="204" t="s">
        <v>126</v>
      </c>
      <c r="F717" s="210">
        <f>D713</f>
        <v>713</v>
      </c>
      <c r="G717" s="206"/>
      <c r="H717" s="206"/>
      <c r="I717" s="208"/>
      <c r="J717" s="208"/>
      <c r="K717" s="234"/>
      <c r="L717" s="208"/>
      <c r="M717" s="217"/>
      <c r="N717" s="208"/>
      <c r="O717" s="218"/>
      <c r="P717" s="208"/>
      <c r="Q717" s="240"/>
      <c r="R717" s="239"/>
      <c r="S717" s="240"/>
      <c r="T717" s="216"/>
      <c r="U717" s="196"/>
    </row>
    <row r="718" spans="3:21" s="185" customFormat="1" ht="20.25" customHeight="1">
      <c r="C718" s="198"/>
      <c r="D718" s="203">
        <f t="shared" si="159"/>
        <v>718</v>
      </c>
      <c r="E718" s="207" t="s">
        <v>125</v>
      </c>
      <c r="F718" s="211"/>
      <c r="G718" s="206" t="s">
        <v>52</v>
      </c>
      <c r="H718" s="206"/>
      <c r="I718" s="224" t="str">
        <f>I714</f>
        <v>26" nb</v>
      </c>
      <c r="J718" s="208"/>
      <c r="K718" s="234">
        <f>K714</f>
        <v>2</v>
      </c>
      <c r="L718" s="208" t="s">
        <v>81</v>
      </c>
      <c r="M718" s="217">
        <f>K718</f>
        <v>2</v>
      </c>
      <c r="N718" s="208" t="s">
        <v>81</v>
      </c>
      <c r="O718" s="218">
        <v>0</v>
      </c>
      <c r="P718" s="208"/>
      <c r="Q718" s="240">
        <f t="shared" ref="Q718:Q720" si="164">M718*O718</f>
        <v>0</v>
      </c>
      <c r="R718" s="239">
        <v>0</v>
      </c>
      <c r="S718" s="240"/>
      <c r="T718" s="243" t="s">
        <v>48</v>
      </c>
      <c r="U718" s="196"/>
    </row>
    <row r="719" spans="3:21" s="185" customFormat="1" ht="20.25" customHeight="1">
      <c r="C719" s="198"/>
      <c r="D719" s="203">
        <f t="shared" si="159"/>
        <v>719</v>
      </c>
      <c r="E719" s="207" t="s">
        <v>104</v>
      </c>
      <c r="F719" s="211">
        <f t="shared" ref="F719:F720" si="165">D718</f>
        <v>718</v>
      </c>
      <c r="G719" s="206" t="s">
        <v>52</v>
      </c>
      <c r="H719" s="206"/>
      <c r="I719" s="224" t="str">
        <f>I715</f>
        <v>2"nb</v>
      </c>
      <c r="J719" s="208"/>
      <c r="K719" s="234">
        <f>K715</f>
        <v>2</v>
      </c>
      <c r="L719" s="208" t="s">
        <v>81</v>
      </c>
      <c r="M719" s="217">
        <f>K719</f>
        <v>2</v>
      </c>
      <c r="N719" s="208" t="s">
        <v>81</v>
      </c>
      <c r="O719" s="218">
        <v>0</v>
      </c>
      <c r="P719" s="208"/>
      <c r="Q719" s="240">
        <f t="shared" si="164"/>
        <v>0</v>
      </c>
      <c r="R719" s="239">
        <v>0</v>
      </c>
      <c r="S719" s="240"/>
      <c r="T719" s="243" t="s">
        <v>48</v>
      </c>
      <c r="U719" s="196"/>
    </row>
    <row r="720" spans="3:21" s="185" customFormat="1" ht="20.25" customHeight="1">
      <c r="C720" s="198"/>
      <c r="D720" s="203">
        <f t="shared" si="159"/>
        <v>720</v>
      </c>
      <c r="E720" s="207" t="s">
        <v>109</v>
      </c>
      <c r="F720" s="211">
        <f t="shared" si="165"/>
        <v>719</v>
      </c>
      <c r="G720" s="206" t="s">
        <v>52</v>
      </c>
      <c r="H720" s="206"/>
      <c r="I720" s="208"/>
      <c r="J720" s="208"/>
      <c r="K720" s="234">
        <f>K719+K718</f>
        <v>4</v>
      </c>
      <c r="L720" s="208" t="s">
        <v>81</v>
      </c>
      <c r="M720" s="217">
        <f>K720</f>
        <v>4</v>
      </c>
      <c r="N720" s="208" t="s">
        <v>81</v>
      </c>
      <c r="O720" s="218">
        <v>0</v>
      </c>
      <c r="P720" s="208"/>
      <c r="Q720" s="240">
        <f t="shared" si="164"/>
        <v>0</v>
      </c>
      <c r="R720" s="239">
        <v>0</v>
      </c>
      <c r="S720" s="240"/>
      <c r="T720" s="243" t="s">
        <v>48</v>
      </c>
      <c r="U720" s="196"/>
    </row>
    <row r="721" spans="3:21" s="185" customFormat="1" ht="20.25" customHeight="1">
      <c r="C721" s="198">
        <f>D721</f>
        <v>721</v>
      </c>
      <c r="D721" s="203">
        <f t="shared" si="159"/>
        <v>721</v>
      </c>
      <c r="E721" s="204" t="s">
        <v>127</v>
      </c>
      <c r="F721" s="210">
        <f>D717</f>
        <v>717</v>
      </c>
      <c r="G721" s="206"/>
      <c r="H721" s="206"/>
      <c r="I721" s="208"/>
      <c r="J721" s="208"/>
      <c r="K721" s="234"/>
      <c r="L721" s="208"/>
      <c r="M721" s="217"/>
      <c r="N721" s="208"/>
      <c r="O721" s="218"/>
      <c r="P721" s="208"/>
      <c r="Q721" s="240"/>
      <c r="R721" s="239"/>
      <c r="S721" s="240"/>
      <c r="T721" s="216"/>
      <c r="U721" s="196"/>
    </row>
    <row r="722" spans="3:21" s="185" customFormat="1" ht="20.25" customHeight="1">
      <c r="C722" s="198"/>
      <c r="D722" s="203">
        <f t="shared" si="159"/>
        <v>722</v>
      </c>
      <c r="E722" s="207" t="s">
        <v>125</v>
      </c>
      <c r="F722" s="211"/>
      <c r="G722" s="206" t="s">
        <v>121</v>
      </c>
      <c r="H722" s="206"/>
      <c r="I722" s="224" t="str">
        <f>I714</f>
        <v>26" nb</v>
      </c>
      <c r="J722" s="208"/>
      <c r="K722" s="234">
        <f>K714</f>
        <v>2</v>
      </c>
      <c r="L722" s="208" t="s">
        <v>81</v>
      </c>
      <c r="M722" s="217">
        <v>2</v>
      </c>
      <c r="N722" s="208" t="s">
        <v>81</v>
      </c>
      <c r="O722" s="218">
        <v>4</v>
      </c>
      <c r="P722" s="208"/>
      <c r="Q722" s="240">
        <f t="shared" ref="Q722:Q724" si="166">M722*O722</f>
        <v>8</v>
      </c>
      <c r="R722" s="239">
        <v>0</v>
      </c>
      <c r="S722" s="240">
        <f t="shared" si="148"/>
        <v>8</v>
      </c>
      <c r="T722" s="243" t="s">
        <v>48</v>
      </c>
      <c r="U722" s="196" t="str">
        <f t="shared" si="149"/>
        <v>8 Hrs</v>
      </c>
    </row>
    <row r="723" spans="3:21" s="185" customFormat="1" ht="20.25" customHeight="1">
      <c r="C723" s="198"/>
      <c r="D723" s="203">
        <f t="shared" si="159"/>
        <v>723</v>
      </c>
      <c r="E723" s="207" t="s">
        <v>104</v>
      </c>
      <c r="F723" s="211">
        <f t="shared" ref="F723:F724" si="167">D722</f>
        <v>722</v>
      </c>
      <c r="G723" s="206" t="s">
        <v>121</v>
      </c>
      <c r="H723" s="206"/>
      <c r="I723" s="224" t="str">
        <f>I715</f>
        <v>2"nb</v>
      </c>
      <c r="J723" s="208"/>
      <c r="K723" s="234">
        <f>K715</f>
        <v>2</v>
      </c>
      <c r="L723" s="208" t="s">
        <v>81</v>
      </c>
      <c r="M723" s="217">
        <v>2</v>
      </c>
      <c r="N723" s="208" t="s">
        <v>81</v>
      </c>
      <c r="O723" s="218">
        <v>0</v>
      </c>
      <c r="P723" s="208"/>
      <c r="Q723" s="240">
        <f t="shared" si="166"/>
        <v>0</v>
      </c>
      <c r="R723" s="239">
        <v>0</v>
      </c>
      <c r="S723" s="240"/>
      <c r="T723" s="243" t="s">
        <v>48</v>
      </c>
      <c r="U723" s="196"/>
    </row>
    <row r="724" spans="3:21" s="185" customFormat="1" ht="20.25" customHeight="1">
      <c r="C724" s="198"/>
      <c r="D724" s="203">
        <f t="shared" si="159"/>
        <v>724</v>
      </c>
      <c r="E724" s="207" t="s">
        <v>109</v>
      </c>
      <c r="F724" s="211">
        <f t="shared" si="167"/>
        <v>723</v>
      </c>
      <c r="G724" s="206" t="s">
        <v>121</v>
      </c>
      <c r="H724" s="206"/>
      <c r="I724" s="208"/>
      <c r="J724" s="208"/>
      <c r="K724" s="234">
        <f>K723+K722</f>
        <v>4</v>
      </c>
      <c r="L724" s="208" t="s">
        <v>81</v>
      </c>
      <c r="M724" s="217">
        <v>4</v>
      </c>
      <c r="N724" s="208" t="s">
        <v>81</v>
      </c>
      <c r="O724" s="218">
        <v>0</v>
      </c>
      <c r="P724" s="208"/>
      <c r="Q724" s="240">
        <f t="shared" si="166"/>
        <v>0</v>
      </c>
      <c r="R724" s="239">
        <v>0</v>
      </c>
      <c r="S724" s="240"/>
      <c r="T724" s="243" t="s">
        <v>48</v>
      </c>
      <c r="U724" s="196"/>
    </row>
    <row r="725" spans="3:21" s="185" customFormat="1" ht="20.25" customHeight="1">
      <c r="C725" s="198">
        <f>D725</f>
        <v>725</v>
      </c>
      <c r="D725" s="203">
        <f t="shared" si="159"/>
        <v>725</v>
      </c>
      <c r="E725" s="204" t="s">
        <v>128</v>
      </c>
      <c r="F725" s="210">
        <f>D721</f>
        <v>721</v>
      </c>
      <c r="G725" s="206"/>
      <c r="H725" s="206"/>
      <c r="I725" s="208"/>
      <c r="J725" s="208"/>
      <c r="K725" s="234"/>
      <c r="L725" s="208"/>
      <c r="M725" s="217"/>
      <c r="N725" s="208"/>
      <c r="O725" s="218"/>
      <c r="P725" s="208"/>
      <c r="Q725" s="240"/>
      <c r="R725" s="239"/>
      <c r="S725" s="240"/>
      <c r="T725" s="216"/>
      <c r="U725" s="196"/>
    </row>
    <row r="726" spans="3:21" s="185" customFormat="1" ht="20.25" customHeight="1">
      <c r="C726" s="198"/>
      <c r="D726" s="203">
        <f t="shared" si="159"/>
        <v>726</v>
      </c>
      <c r="E726" s="207" t="s">
        <v>125</v>
      </c>
      <c r="F726" s="211"/>
      <c r="G726" s="206" t="s">
        <v>111</v>
      </c>
      <c r="H726" s="206"/>
      <c r="I726" s="224" t="str">
        <f>I714</f>
        <v>26" nb</v>
      </c>
      <c r="J726" s="208"/>
      <c r="K726" s="234">
        <v>2</v>
      </c>
      <c r="L726" s="208" t="s">
        <v>50</v>
      </c>
      <c r="M726" s="217">
        <v>2</v>
      </c>
      <c r="N726" s="208" t="s">
        <v>50</v>
      </c>
      <c r="O726" s="218">
        <v>4</v>
      </c>
      <c r="P726" s="208" t="s">
        <v>112</v>
      </c>
      <c r="Q726" s="240">
        <f t="shared" ref="Q726:Q728" si="168">M726*O726</f>
        <v>8</v>
      </c>
      <c r="R726" s="239">
        <v>1</v>
      </c>
      <c r="S726" s="240">
        <f t="shared" si="148"/>
        <v>9</v>
      </c>
      <c r="T726" s="243" t="s">
        <v>48</v>
      </c>
      <c r="U726" s="196" t="str">
        <f t="shared" si="149"/>
        <v>9 Hrs</v>
      </c>
    </row>
    <row r="727" spans="3:21" s="185" customFormat="1" ht="20.25" customHeight="1">
      <c r="C727" s="198"/>
      <c r="D727" s="203">
        <f t="shared" si="159"/>
        <v>727</v>
      </c>
      <c r="E727" s="207" t="s">
        <v>104</v>
      </c>
      <c r="F727" s="211">
        <f t="shared" ref="F727:F728" si="169">D726</f>
        <v>726</v>
      </c>
      <c r="G727" s="206" t="s">
        <v>111</v>
      </c>
      <c r="H727" s="206"/>
      <c r="I727" s="224" t="str">
        <f>I715</f>
        <v>2"nb</v>
      </c>
      <c r="J727" s="208"/>
      <c r="K727" s="234">
        <v>2</v>
      </c>
      <c r="L727" s="208" t="s">
        <v>50</v>
      </c>
      <c r="M727" s="217">
        <v>2</v>
      </c>
      <c r="N727" s="208" t="s">
        <v>50</v>
      </c>
      <c r="O727" s="218">
        <v>0</v>
      </c>
      <c r="P727" s="208" t="s">
        <v>112</v>
      </c>
      <c r="Q727" s="240">
        <f t="shared" si="168"/>
        <v>0</v>
      </c>
      <c r="R727" s="239">
        <v>1</v>
      </c>
      <c r="S727" s="240">
        <f t="shared" si="148"/>
        <v>1</v>
      </c>
      <c r="T727" s="243" t="s">
        <v>48</v>
      </c>
      <c r="U727" s="196" t="str">
        <f t="shared" si="149"/>
        <v>1 Hrs</v>
      </c>
    </row>
    <row r="728" spans="3:21" s="185" customFormat="1" ht="20.25" customHeight="1">
      <c r="C728" s="198"/>
      <c r="D728" s="203">
        <f t="shared" si="159"/>
        <v>728</v>
      </c>
      <c r="E728" s="207" t="s">
        <v>109</v>
      </c>
      <c r="F728" s="211">
        <f t="shared" si="169"/>
        <v>727</v>
      </c>
      <c r="G728" s="206" t="s">
        <v>111</v>
      </c>
      <c r="H728" s="206"/>
      <c r="I728" s="208"/>
      <c r="J728" s="208"/>
      <c r="K728" s="234">
        <v>4</v>
      </c>
      <c r="L728" s="208" t="s">
        <v>50</v>
      </c>
      <c r="M728" s="217">
        <v>4</v>
      </c>
      <c r="N728" s="208" t="s">
        <v>50</v>
      </c>
      <c r="O728" s="218">
        <v>0.25</v>
      </c>
      <c r="P728" s="208" t="s">
        <v>112</v>
      </c>
      <c r="Q728" s="240">
        <f t="shared" si="168"/>
        <v>1</v>
      </c>
      <c r="R728" s="239">
        <v>1</v>
      </c>
      <c r="S728" s="240">
        <f t="shared" si="148"/>
        <v>2</v>
      </c>
      <c r="T728" s="243" t="s">
        <v>48</v>
      </c>
      <c r="U728" s="196" t="str">
        <f t="shared" si="149"/>
        <v>2 Hrs</v>
      </c>
    </row>
    <row r="729" spans="3:21" s="185" customFormat="1" ht="20.25" customHeight="1">
      <c r="C729" s="198">
        <f>D729</f>
        <v>729</v>
      </c>
      <c r="D729" s="203">
        <f t="shared" si="159"/>
        <v>729</v>
      </c>
      <c r="E729" s="204" t="s">
        <v>129</v>
      </c>
      <c r="F729" s="210">
        <f>D725</f>
        <v>725</v>
      </c>
      <c r="G729" s="206"/>
      <c r="H729" s="206"/>
      <c r="I729" s="208"/>
      <c r="J729" s="208"/>
      <c r="K729" s="234"/>
      <c r="L729" s="208"/>
      <c r="M729" s="217"/>
      <c r="N729" s="208"/>
      <c r="O729" s="218"/>
      <c r="P729" s="208"/>
      <c r="Q729" s="240"/>
      <c r="R729" s="239"/>
      <c r="S729" s="240"/>
      <c r="T729" s="216"/>
      <c r="U729" s="196"/>
    </row>
    <row r="730" spans="3:21" s="185" customFormat="1" ht="20.25" customHeight="1">
      <c r="C730" s="198"/>
      <c r="D730" s="203">
        <f t="shared" si="159"/>
        <v>730</v>
      </c>
      <c r="E730" s="207" t="s">
        <v>125</v>
      </c>
      <c r="F730" s="211"/>
      <c r="G730" s="206" t="s">
        <v>115</v>
      </c>
      <c r="H730" s="206"/>
      <c r="I730" s="224" t="s">
        <v>116</v>
      </c>
      <c r="J730" s="234" t="s">
        <v>117</v>
      </c>
      <c r="K730" s="234">
        <v>2</v>
      </c>
      <c r="L730" s="208" t="s">
        <v>50</v>
      </c>
      <c r="M730" s="227">
        <f>LEFT(J730,SEARCH(" ",J730,1)-1)*K730*0.001</f>
        <v>6.1080000000000005</v>
      </c>
      <c r="N730" s="208" t="s">
        <v>50</v>
      </c>
      <c r="O730" s="246">
        <f>6.12</f>
        <v>6.12</v>
      </c>
      <c r="P730" s="208" t="s">
        <v>112</v>
      </c>
      <c r="Q730" s="240">
        <f>M730*O730</f>
        <v>37.380960000000002</v>
      </c>
      <c r="R730" s="239">
        <v>1</v>
      </c>
      <c r="S730" s="240">
        <f t="shared" si="148"/>
        <v>38.380000000000003</v>
      </c>
      <c r="T730" s="243" t="s">
        <v>48</v>
      </c>
      <c r="U730" s="196" t="str">
        <f t="shared" si="149"/>
        <v>38.38 Hrs</v>
      </c>
    </row>
    <row r="731" spans="3:21" s="185" customFormat="1" ht="20.25" customHeight="1">
      <c r="C731" s="198"/>
      <c r="D731" s="203">
        <f t="shared" si="159"/>
        <v>731</v>
      </c>
      <c r="E731" s="207" t="s">
        <v>104</v>
      </c>
      <c r="F731" s="211">
        <f t="shared" ref="F731:F732" si="170">D730</f>
        <v>730</v>
      </c>
      <c r="G731" s="206" t="s">
        <v>115</v>
      </c>
      <c r="H731" s="206"/>
      <c r="I731" s="224" t="str">
        <f>I719</f>
        <v>2"nb</v>
      </c>
      <c r="J731" s="234" t="s">
        <v>118</v>
      </c>
      <c r="K731" s="234">
        <v>2</v>
      </c>
      <c r="L731" s="208" t="s">
        <v>50</v>
      </c>
      <c r="M731" s="217">
        <v>0</v>
      </c>
      <c r="N731" s="208" t="s">
        <v>50</v>
      </c>
      <c r="O731" s="246"/>
      <c r="P731" s="208" t="s">
        <v>112</v>
      </c>
      <c r="Q731" s="240">
        <f t="shared" ref="Q731:Q732" si="171">M731*O731</f>
        <v>0</v>
      </c>
      <c r="R731" s="239"/>
      <c r="S731" s="240"/>
      <c r="T731" s="243" t="s">
        <v>48</v>
      </c>
      <c r="U731" s="196"/>
    </row>
    <row r="732" spans="3:21" s="185" customFormat="1" ht="20.25" customHeight="1">
      <c r="C732" s="198"/>
      <c r="D732" s="203">
        <f t="shared" si="159"/>
        <v>732</v>
      </c>
      <c r="E732" s="207" t="s">
        <v>109</v>
      </c>
      <c r="F732" s="211">
        <f t="shared" si="170"/>
        <v>731</v>
      </c>
      <c r="G732" s="206" t="s">
        <v>115</v>
      </c>
      <c r="H732" s="206"/>
      <c r="I732" s="208"/>
      <c r="J732" s="208"/>
      <c r="K732" s="234">
        <v>4</v>
      </c>
      <c r="L732" s="208" t="s">
        <v>50</v>
      </c>
      <c r="M732" s="217">
        <v>4</v>
      </c>
      <c r="N732" s="208" t="s">
        <v>50</v>
      </c>
      <c r="O732" s="218">
        <v>0.25</v>
      </c>
      <c r="P732" s="208" t="s">
        <v>112</v>
      </c>
      <c r="Q732" s="240">
        <f t="shared" si="171"/>
        <v>1</v>
      </c>
      <c r="R732" s="239">
        <v>1</v>
      </c>
      <c r="S732" s="240">
        <f t="shared" si="148"/>
        <v>2</v>
      </c>
      <c r="T732" s="243" t="s">
        <v>48</v>
      </c>
      <c r="U732" s="196" t="str">
        <f t="shared" ref="U732:U793" si="172">CONCATENATE(S732," ",T732)</f>
        <v>2 Hrs</v>
      </c>
    </row>
    <row r="733" spans="3:21" s="185" customFormat="1" ht="20.25" customHeight="1">
      <c r="C733" s="198">
        <f>D733</f>
        <v>733</v>
      </c>
      <c r="D733" s="203">
        <f t="shared" si="159"/>
        <v>733</v>
      </c>
      <c r="E733" s="204" t="s">
        <v>130</v>
      </c>
      <c r="F733" s="210">
        <f>D729</f>
        <v>729</v>
      </c>
      <c r="G733" s="206"/>
      <c r="H733" s="206"/>
      <c r="I733" s="208"/>
      <c r="J733" s="208"/>
      <c r="K733" s="234"/>
      <c r="L733" s="208"/>
      <c r="M733" s="217"/>
      <c r="N733" s="208"/>
      <c r="O733" s="218"/>
      <c r="P733" s="208"/>
      <c r="Q733" s="240"/>
      <c r="R733" s="239"/>
      <c r="S733" s="240"/>
      <c r="T733" s="216"/>
      <c r="U733" s="196"/>
    </row>
    <row r="734" spans="3:21" s="185" customFormat="1" ht="20.25" customHeight="1">
      <c r="C734" s="198"/>
      <c r="D734" s="203">
        <f t="shared" si="159"/>
        <v>734</v>
      </c>
      <c r="E734" s="207" t="s">
        <v>125</v>
      </c>
      <c r="F734" s="211"/>
      <c r="G734" s="206" t="s">
        <v>44</v>
      </c>
      <c r="H734" s="206"/>
      <c r="I734" s="224" t="str">
        <f>I722</f>
        <v>26" nb</v>
      </c>
      <c r="J734" s="208"/>
      <c r="K734" s="234">
        <v>2</v>
      </c>
      <c r="L734" s="208" t="s">
        <v>50</v>
      </c>
      <c r="M734" s="217">
        <v>1</v>
      </c>
      <c r="N734" s="208" t="s">
        <v>50</v>
      </c>
      <c r="O734" s="246">
        <v>4</v>
      </c>
      <c r="P734" s="208" t="s">
        <v>112</v>
      </c>
      <c r="Q734" s="240">
        <f t="shared" ref="Q734:Q736" si="173">M734*O734</f>
        <v>4</v>
      </c>
      <c r="R734" s="239">
        <v>1</v>
      </c>
      <c r="S734" s="240">
        <f t="shared" ref="S734:S797" si="174">ROUND(Q734+R734,2)</f>
        <v>5</v>
      </c>
      <c r="T734" s="243" t="s">
        <v>48</v>
      </c>
      <c r="U734" s="196" t="str">
        <f t="shared" si="172"/>
        <v>5 Hrs</v>
      </c>
    </row>
    <row r="735" spans="3:21" s="185" customFormat="1" ht="20.25" customHeight="1">
      <c r="C735" s="198"/>
      <c r="D735" s="203">
        <f t="shared" si="159"/>
        <v>735</v>
      </c>
      <c r="E735" s="207" t="s">
        <v>104</v>
      </c>
      <c r="F735" s="211">
        <f t="shared" ref="F735:F736" si="175">D734</f>
        <v>734</v>
      </c>
      <c r="G735" s="206" t="s">
        <v>44</v>
      </c>
      <c r="H735" s="206"/>
      <c r="I735" s="224" t="str">
        <f>I723</f>
        <v>2"nb</v>
      </c>
      <c r="J735" s="208"/>
      <c r="K735" s="234">
        <v>2</v>
      </c>
      <c r="L735" s="208" t="s">
        <v>50</v>
      </c>
      <c r="M735" s="217">
        <v>1</v>
      </c>
      <c r="N735" s="208" t="s">
        <v>50</v>
      </c>
      <c r="O735" s="246">
        <v>1</v>
      </c>
      <c r="P735" s="208" t="s">
        <v>112</v>
      </c>
      <c r="Q735" s="240">
        <f t="shared" si="173"/>
        <v>1</v>
      </c>
      <c r="R735" s="239">
        <v>1</v>
      </c>
      <c r="S735" s="240">
        <f t="shared" si="174"/>
        <v>2</v>
      </c>
      <c r="T735" s="243" t="s">
        <v>48</v>
      </c>
      <c r="U735" s="196" t="str">
        <f t="shared" si="172"/>
        <v>2 Hrs</v>
      </c>
    </row>
    <row r="736" spans="3:21" s="185" customFormat="1" ht="20.25" customHeight="1">
      <c r="C736" s="198"/>
      <c r="D736" s="203">
        <f t="shared" si="159"/>
        <v>736</v>
      </c>
      <c r="E736" s="207" t="s">
        <v>109</v>
      </c>
      <c r="F736" s="211">
        <f t="shared" si="175"/>
        <v>735</v>
      </c>
      <c r="G736" s="206" t="s">
        <v>44</v>
      </c>
      <c r="H736" s="206"/>
      <c r="I736" s="208"/>
      <c r="J736" s="208"/>
      <c r="K736" s="234">
        <v>4</v>
      </c>
      <c r="L736" s="208" t="s">
        <v>50</v>
      </c>
      <c r="M736" s="217">
        <v>1</v>
      </c>
      <c r="N736" s="208" t="s">
        <v>50</v>
      </c>
      <c r="O736" s="218">
        <v>1</v>
      </c>
      <c r="P736" s="208" t="s">
        <v>112</v>
      </c>
      <c r="Q736" s="240">
        <f t="shared" si="173"/>
        <v>1</v>
      </c>
      <c r="R736" s="239">
        <v>1</v>
      </c>
      <c r="S736" s="240">
        <f t="shared" si="174"/>
        <v>2</v>
      </c>
      <c r="T736" s="243" t="s">
        <v>48</v>
      </c>
      <c r="U736" s="196" t="str">
        <f t="shared" si="172"/>
        <v>2 Hrs</v>
      </c>
    </row>
    <row r="737" spans="3:21" s="185" customFormat="1" ht="20.25" customHeight="1">
      <c r="C737" s="198">
        <f>D737</f>
        <v>737</v>
      </c>
      <c r="D737" s="203">
        <f t="shared" si="159"/>
        <v>737</v>
      </c>
      <c r="E737" s="204" t="s">
        <v>131</v>
      </c>
      <c r="F737" s="210">
        <f>D733</f>
        <v>733</v>
      </c>
      <c r="G737" s="206"/>
      <c r="H737" s="206"/>
      <c r="I737" s="208"/>
      <c r="J737" s="208"/>
      <c r="K737" s="234"/>
      <c r="L737" s="208"/>
      <c r="M737" s="217"/>
      <c r="N737" s="208"/>
      <c r="O737" s="218"/>
      <c r="P737" s="208"/>
      <c r="Q737" s="240"/>
      <c r="R737" s="239"/>
      <c r="S737" s="240"/>
      <c r="T737" s="216"/>
      <c r="U737" s="196"/>
    </row>
    <row r="738" spans="3:21" s="185" customFormat="1" ht="20.25" customHeight="1">
      <c r="C738" s="198"/>
      <c r="D738" s="203">
        <f t="shared" si="159"/>
        <v>738</v>
      </c>
      <c r="E738" s="207" t="s">
        <v>125</v>
      </c>
      <c r="F738" s="211"/>
      <c r="G738" s="206" t="s">
        <v>44</v>
      </c>
      <c r="H738" s="206"/>
      <c r="I738" s="224" t="str">
        <f>I726</f>
        <v>26" nb</v>
      </c>
      <c r="J738" s="208"/>
      <c r="K738" s="234">
        <v>2</v>
      </c>
      <c r="L738" s="208" t="s">
        <v>50</v>
      </c>
      <c r="M738" s="217">
        <v>0</v>
      </c>
      <c r="N738" s="208" t="s">
        <v>50</v>
      </c>
      <c r="O738" s="246"/>
      <c r="P738" s="208" t="s">
        <v>112</v>
      </c>
      <c r="Q738" s="240">
        <f t="shared" ref="Q738:Q740" si="176">M738*O738</f>
        <v>0</v>
      </c>
      <c r="R738" s="239">
        <v>1</v>
      </c>
      <c r="S738" s="240">
        <f t="shared" si="174"/>
        <v>1</v>
      </c>
      <c r="T738" s="243" t="s">
        <v>48</v>
      </c>
      <c r="U738" s="196" t="str">
        <f t="shared" si="172"/>
        <v>1 Hrs</v>
      </c>
    </row>
    <row r="739" spans="3:21" s="185" customFormat="1" ht="20.25" customHeight="1">
      <c r="C739" s="198"/>
      <c r="D739" s="203">
        <f t="shared" si="159"/>
        <v>739</v>
      </c>
      <c r="E739" s="207" t="s">
        <v>104</v>
      </c>
      <c r="F739" s="211">
        <f t="shared" ref="F739:F740" si="177">D738</f>
        <v>738</v>
      </c>
      <c r="G739" s="206" t="s">
        <v>44</v>
      </c>
      <c r="H739" s="206"/>
      <c r="I739" s="224" t="str">
        <f>I727</f>
        <v>2"nb</v>
      </c>
      <c r="J739" s="208"/>
      <c r="K739" s="234">
        <v>2</v>
      </c>
      <c r="L739" s="208" t="s">
        <v>50</v>
      </c>
      <c r="M739" s="217">
        <v>0</v>
      </c>
      <c r="N739" s="208" t="s">
        <v>50</v>
      </c>
      <c r="O739" s="246"/>
      <c r="P739" s="208" t="s">
        <v>112</v>
      </c>
      <c r="Q739" s="240">
        <f t="shared" si="176"/>
        <v>0</v>
      </c>
      <c r="R739" s="239">
        <v>1</v>
      </c>
      <c r="S739" s="240">
        <f t="shared" si="174"/>
        <v>1</v>
      </c>
      <c r="T739" s="243" t="s">
        <v>48</v>
      </c>
      <c r="U739" s="196" t="str">
        <f t="shared" si="172"/>
        <v>1 Hrs</v>
      </c>
    </row>
    <row r="740" spans="3:21" s="185" customFormat="1" ht="20.25" customHeight="1">
      <c r="C740" s="198"/>
      <c r="D740" s="203">
        <f t="shared" si="159"/>
        <v>740</v>
      </c>
      <c r="E740" s="207" t="s">
        <v>109</v>
      </c>
      <c r="F740" s="211">
        <f t="shared" si="177"/>
        <v>739</v>
      </c>
      <c r="G740" s="206" t="s">
        <v>44</v>
      </c>
      <c r="H740" s="206"/>
      <c r="I740" s="208"/>
      <c r="J740" s="208"/>
      <c r="K740" s="234">
        <v>4</v>
      </c>
      <c r="L740" s="208" t="s">
        <v>50</v>
      </c>
      <c r="M740" s="217">
        <v>0</v>
      </c>
      <c r="N740" s="208" t="s">
        <v>50</v>
      </c>
      <c r="O740" s="218"/>
      <c r="P740" s="208" t="s">
        <v>112</v>
      </c>
      <c r="Q740" s="240">
        <f t="shared" si="176"/>
        <v>0</v>
      </c>
      <c r="R740" s="239">
        <v>1</v>
      </c>
      <c r="S740" s="240">
        <f t="shared" si="174"/>
        <v>1</v>
      </c>
      <c r="T740" s="243" t="s">
        <v>48</v>
      </c>
      <c r="U740" s="196" t="str">
        <f t="shared" si="172"/>
        <v>1 Hrs</v>
      </c>
    </row>
    <row r="741" spans="3:21" s="185" customFormat="1" ht="20.25" customHeight="1">
      <c r="C741" s="198">
        <f>D741</f>
        <v>741</v>
      </c>
      <c r="D741" s="203">
        <f t="shared" si="159"/>
        <v>741</v>
      </c>
      <c r="E741" s="204" t="s">
        <v>132</v>
      </c>
      <c r="F741" s="210">
        <f>D737</f>
        <v>737</v>
      </c>
      <c r="G741" s="206"/>
      <c r="H741" s="206"/>
      <c r="I741" s="208"/>
      <c r="J741" s="208"/>
      <c r="K741" s="234"/>
      <c r="L741" s="208"/>
      <c r="M741" s="217"/>
      <c r="N741" s="208"/>
      <c r="O741" s="218"/>
      <c r="P741" s="208"/>
      <c r="Q741" s="240"/>
      <c r="R741" s="239"/>
      <c r="S741" s="240"/>
      <c r="T741" s="216"/>
      <c r="U741" s="196"/>
    </row>
    <row r="742" spans="3:21" s="185" customFormat="1" ht="20.25" customHeight="1">
      <c r="C742" s="198"/>
      <c r="D742" s="203">
        <f t="shared" si="159"/>
        <v>742</v>
      </c>
      <c r="E742" s="207" t="s">
        <v>125</v>
      </c>
      <c r="F742" s="211"/>
      <c r="G742" s="206" t="s">
        <v>121</v>
      </c>
      <c r="H742" s="206"/>
      <c r="I742" s="224" t="s">
        <v>123</v>
      </c>
      <c r="J742" s="208" t="str">
        <f>J730</f>
        <v>3054 mm</v>
      </c>
      <c r="K742" s="234">
        <v>2</v>
      </c>
      <c r="L742" s="208" t="s">
        <v>50</v>
      </c>
      <c r="M742" s="227">
        <f>LEFT(J742,SEARCH(" ",J742,1)-1)*K742*0.001</f>
        <v>6.1080000000000005</v>
      </c>
      <c r="N742" s="208" t="s">
        <v>50</v>
      </c>
      <c r="O742" s="246">
        <v>1</v>
      </c>
      <c r="P742" s="208" t="s">
        <v>112</v>
      </c>
      <c r="Q742" s="240">
        <f t="shared" ref="Q742:Q744" si="178">M742*O742</f>
        <v>6.1080000000000005</v>
      </c>
      <c r="R742" s="239">
        <v>1</v>
      </c>
      <c r="S742" s="240">
        <f t="shared" si="174"/>
        <v>7.11</v>
      </c>
      <c r="T742" s="243" t="s">
        <v>48</v>
      </c>
      <c r="U742" s="196" t="str">
        <f t="shared" si="172"/>
        <v>7.11 Hrs</v>
      </c>
    </row>
    <row r="743" spans="3:21" s="185" customFormat="1" ht="20.25" customHeight="1">
      <c r="C743" s="198"/>
      <c r="D743" s="203">
        <f t="shared" si="159"/>
        <v>743</v>
      </c>
      <c r="E743" s="207" t="s">
        <v>104</v>
      </c>
      <c r="F743" s="211">
        <f t="shared" ref="F743:F744" si="179">D742</f>
        <v>742</v>
      </c>
      <c r="G743" s="206" t="s">
        <v>121</v>
      </c>
      <c r="H743" s="206"/>
      <c r="I743" s="224">
        <v>18</v>
      </c>
      <c r="J743" s="211" t="str">
        <f>J731</f>
        <v>272 MM</v>
      </c>
      <c r="K743" s="234">
        <v>2</v>
      </c>
      <c r="L743" s="208" t="s">
        <v>50</v>
      </c>
      <c r="M743" s="227">
        <f>LEFT(J743,SEARCH(" ",J743,1)-1)*K743*0.001</f>
        <v>0.54400000000000004</v>
      </c>
      <c r="N743" s="208" t="s">
        <v>50</v>
      </c>
      <c r="O743" s="246">
        <v>0.5</v>
      </c>
      <c r="P743" s="208" t="s">
        <v>112</v>
      </c>
      <c r="Q743" s="240">
        <f t="shared" si="178"/>
        <v>0.27200000000000002</v>
      </c>
      <c r="R743" s="239">
        <v>1</v>
      </c>
      <c r="S743" s="240">
        <f t="shared" si="174"/>
        <v>1.27</v>
      </c>
      <c r="T743" s="243" t="s">
        <v>48</v>
      </c>
      <c r="U743" s="196" t="str">
        <f t="shared" si="172"/>
        <v>1.27 Hrs</v>
      </c>
    </row>
    <row r="744" spans="3:21" s="185" customFormat="1" ht="20.25" customHeight="1">
      <c r="C744" s="198"/>
      <c r="D744" s="203">
        <f t="shared" si="159"/>
        <v>744</v>
      </c>
      <c r="E744" s="207" t="s">
        <v>109</v>
      </c>
      <c r="F744" s="211">
        <f t="shared" si="179"/>
        <v>743</v>
      </c>
      <c r="G744" s="206" t="s">
        <v>121</v>
      </c>
      <c r="H744" s="206"/>
      <c r="I744" s="208"/>
      <c r="J744" s="208"/>
      <c r="K744" s="234">
        <v>4</v>
      </c>
      <c r="L744" s="208" t="s">
        <v>50</v>
      </c>
      <c r="M744" s="217">
        <v>1</v>
      </c>
      <c r="N744" s="208" t="s">
        <v>50</v>
      </c>
      <c r="O744" s="218">
        <v>1</v>
      </c>
      <c r="P744" s="208" t="s">
        <v>112</v>
      </c>
      <c r="Q744" s="240">
        <f t="shared" si="178"/>
        <v>1</v>
      </c>
      <c r="R744" s="239">
        <v>1</v>
      </c>
      <c r="S744" s="240">
        <f t="shared" si="174"/>
        <v>2</v>
      </c>
      <c r="T744" s="243" t="s">
        <v>48</v>
      </c>
      <c r="U744" s="196" t="str">
        <f t="shared" si="172"/>
        <v>2 Hrs</v>
      </c>
    </row>
    <row r="745" spans="3:21" s="185" customFormat="1" ht="20.25" customHeight="1">
      <c r="C745" s="198">
        <f t="shared" ref="C745:C746" si="180">D745</f>
        <v>745</v>
      </c>
      <c r="D745" s="203">
        <f t="shared" si="159"/>
        <v>745</v>
      </c>
      <c r="E745" s="204" t="s">
        <v>133</v>
      </c>
      <c r="F745" s="210"/>
      <c r="G745" s="206"/>
      <c r="H745" s="206"/>
      <c r="I745" s="208"/>
      <c r="J745" s="208"/>
      <c r="K745" s="234"/>
      <c r="L745" s="208"/>
      <c r="M745" s="217"/>
      <c r="N745" s="208"/>
      <c r="O745" s="218"/>
      <c r="P745" s="208"/>
      <c r="Q745" s="240"/>
      <c r="R745" s="239"/>
      <c r="S745" s="240"/>
      <c r="T745" s="216"/>
      <c r="U745" s="196"/>
    </row>
    <row r="746" spans="3:21" s="185" customFormat="1" ht="20.25" customHeight="1">
      <c r="C746" s="198">
        <f t="shared" si="180"/>
        <v>746</v>
      </c>
      <c r="D746" s="203">
        <f t="shared" si="159"/>
        <v>746</v>
      </c>
      <c r="E746" s="204" t="s">
        <v>134</v>
      </c>
      <c r="F746" s="210">
        <f>D745</f>
        <v>745</v>
      </c>
      <c r="G746" s="206"/>
      <c r="H746" s="206"/>
      <c r="I746" s="208"/>
      <c r="J746" s="208"/>
      <c r="K746" s="234"/>
      <c r="L746" s="208"/>
      <c r="M746" s="217"/>
      <c r="N746" s="208"/>
      <c r="O746" s="218"/>
      <c r="P746" s="208"/>
      <c r="Q746" s="240"/>
      <c r="R746" s="239"/>
      <c r="S746" s="240"/>
      <c r="T746" s="216"/>
      <c r="U746" s="196"/>
    </row>
    <row r="747" spans="3:21" s="185" customFormat="1" ht="20.25" customHeight="1">
      <c r="C747" s="198"/>
      <c r="D747" s="203">
        <f t="shared" si="159"/>
        <v>747</v>
      </c>
      <c r="E747" s="207" t="s">
        <v>135</v>
      </c>
      <c r="F747" s="211"/>
      <c r="G747" s="206"/>
      <c r="H747" s="206"/>
      <c r="I747" s="208"/>
      <c r="J747" s="208"/>
      <c r="K747" s="234">
        <v>1</v>
      </c>
      <c r="L747" s="208" t="s">
        <v>84</v>
      </c>
      <c r="M747" s="217">
        <v>1</v>
      </c>
      <c r="N747" s="208" t="s">
        <v>84</v>
      </c>
      <c r="O747" s="218">
        <v>4</v>
      </c>
      <c r="P747" s="208" t="s">
        <v>41</v>
      </c>
      <c r="Q747" s="240">
        <f t="shared" ref="Q747:Q750" si="181">M747*O747</f>
        <v>4</v>
      </c>
      <c r="R747" s="239">
        <v>0</v>
      </c>
      <c r="S747" s="240">
        <f t="shared" si="174"/>
        <v>4</v>
      </c>
      <c r="T747" s="216" t="s">
        <v>42</v>
      </c>
      <c r="U747" s="196" t="str">
        <f t="shared" si="172"/>
        <v>4 Days</v>
      </c>
    </row>
    <row r="748" spans="3:21" s="185" customFormat="1" ht="20.25" customHeight="1">
      <c r="C748" s="198"/>
      <c r="D748" s="203">
        <f t="shared" si="159"/>
        <v>748</v>
      </c>
      <c r="E748" s="207" t="s">
        <v>136</v>
      </c>
      <c r="F748" s="211">
        <f t="shared" ref="F748:F750" si="182">D747</f>
        <v>747</v>
      </c>
      <c r="G748" s="206" t="s">
        <v>44</v>
      </c>
      <c r="H748" s="206"/>
      <c r="I748" s="224" t="s">
        <v>137</v>
      </c>
      <c r="J748" s="234" t="s">
        <v>138</v>
      </c>
      <c r="K748" s="234">
        <v>1</v>
      </c>
      <c r="L748" s="208" t="s">
        <v>84</v>
      </c>
      <c r="M748" s="227">
        <f>LEFT(J748,SEARCH(" ",J748,1)-1)*K748</f>
        <v>9</v>
      </c>
      <c r="N748" s="208" t="s">
        <v>139</v>
      </c>
      <c r="O748" s="246">
        <v>0.25</v>
      </c>
      <c r="P748" s="208" t="s">
        <v>112</v>
      </c>
      <c r="Q748" s="240">
        <f t="shared" si="181"/>
        <v>2.25</v>
      </c>
      <c r="R748" s="239">
        <v>1</v>
      </c>
      <c r="S748" s="240">
        <f t="shared" si="174"/>
        <v>3.25</v>
      </c>
      <c r="T748" s="243" t="s">
        <v>48</v>
      </c>
      <c r="U748" s="196" t="str">
        <f t="shared" si="172"/>
        <v>3.25 Hrs</v>
      </c>
    </row>
    <row r="749" spans="3:21" s="185" customFormat="1" ht="20.25" customHeight="1">
      <c r="C749" s="198"/>
      <c r="D749" s="203">
        <f t="shared" si="159"/>
        <v>749</v>
      </c>
      <c r="E749" s="207" t="s">
        <v>140</v>
      </c>
      <c r="F749" s="211">
        <f t="shared" si="182"/>
        <v>748</v>
      </c>
      <c r="G749" s="206" t="s">
        <v>44</v>
      </c>
      <c r="H749" s="206"/>
      <c r="I749" s="224" t="str">
        <f>I748</f>
        <v>30/25</v>
      </c>
      <c r="J749" s="234" t="s">
        <v>141</v>
      </c>
      <c r="K749" s="225">
        <v>1</v>
      </c>
      <c r="L749" s="208" t="s">
        <v>84</v>
      </c>
      <c r="M749" s="227">
        <f t="shared" ref="M749:M750" si="183">LEFT(J749,SEARCH(" ",J749,1)-1)*K749</f>
        <v>29</v>
      </c>
      <c r="N749" s="208" t="s">
        <v>139</v>
      </c>
      <c r="O749" s="246">
        <v>0.25</v>
      </c>
      <c r="P749" s="208" t="s">
        <v>112</v>
      </c>
      <c r="Q749" s="240">
        <f t="shared" si="181"/>
        <v>7.25</v>
      </c>
      <c r="R749" s="239">
        <v>1</v>
      </c>
      <c r="S749" s="240">
        <f t="shared" si="174"/>
        <v>8.25</v>
      </c>
      <c r="T749" s="243" t="s">
        <v>48</v>
      </c>
      <c r="U749" s="196" t="str">
        <f t="shared" si="172"/>
        <v>8.25 Hrs</v>
      </c>
    </row>
    <row r="750" spans="3:21" s="185" customFormat="1" ht="20.25" customHeight="1">
      <c r="C750" s="198"/>
      <c r="D750" s="203">
        <f t="shared" si="159"/>
        <v>750</v>
      </c>
      <c r="E750" s="207" t="s">
        <v>142</v>
      </c>
      <c r="F750" s="211">
        <f t="shared" si="182"/>
        <v>749</v>
      </c>
      <c r="G750" s="206" t="s">
        <v>44</v>
      </c>
      <c r="H750" s="206"/>
      <c r="I750" s="224">
        <v>25</v>
      </c>
      <c r="J750" s="234" t="s">
        <v>143</v>
      </c>
      <c r="K750" s="234">
        <v>1</v>
      </c>
      <c r="L750" s="208" t="s">
        <v>84</v>
      </c>
      <c r="M750" s="227">
        <f t="shared" si="183"/>
        <v>10.5</v>
      </c>
      <c r="N750" s="208" t="s">
        <v>139</v>
      </c>
      <c r="O750" s="246">
        <v>0.25</v>
      </c>
      <c r="P750" s="208" t="s">
        <v>112</v>
      </c>
      <c r="Q750" s="240">
        <f t="shared" si="181"/>
        <v>2.625</v>
      </c>
      <c r="R750" s="239">
        <v>1</v>
      </c>
      <c r="S750" s="240">
        <f t="shared" si="174"/>
        <v>3.63</v>
      </c>
      <c r="T750" s="243" t="s">
        <v>48</v>
      </c>
      <c r="U750" s="196" t="str">
        <f t="shared" si="172"/>
        <v>3.63 Hrs</v>
      </c>
    </row>
    <row r="751" spans="3:21" s="185" customFormat="1" ht="20.25" customHeight="1">
      <c r="C751" s="198">
        <f>D751</f>
        <v>751</v>
      </c>
      <c r="D751" s="203">
        <f t="shared" si="159"/>
        <v>751</v>
      </c>
      <c r="E751" s="204" t="s">
        <v>144</v>
      </c>
      <c r="F751" s="210">
        <f>D746</f>
        <v>746</v>
      </c>
      <c r="G751" s="206"/>
      <c r="H751" s="206"/>
      <c r="I751" s="208"/>
      <c r="J751" s="208"/>
      <c r="K751" s="234"/>
      <c r="L751" s="208"/>
      <c r="M751" s="217"/>
      <c r="N751" s="208"/>
      <c r="O751" s="218"/>
      <c r="P751" s="208"/>
      <c r="Q751" s="240"/>
      <c r="R751" s="239"/>
      <c r="S751" s="240"/>
      <c r="T751" s="216"/>
      <c r="U751" s="196"/>
    </row>
    <row r="752" spans="3:21" s="185" customFormat="1" ht="20.25" customHeight="1">
      <c r="C752" s="198"/>
      <c r="D752" s="203">
        <f t="shared" si="159"/>
        <v>752</v>
      </c>
      <c r="E752" s="207" t="s">
        <v>145</v>
      </c>
      <c r="F752" s="211"/>
      <c r="G752" s="206" t="s">
        <v>52</v>
      </c>
      <c r="H752" s="206"/>
      <c r="I752" s="233" t="str">
        <f t="shared" ref="I752:K754" si="184">I748</f>
        <v>30/25</v>
      </c>
      <c r="J752" s="211" t="str">
        <f t="shared" si="184"/>
        <v>9 rmt</v>
      </c>
      <c r="K752" s="225">
        <f t="shared" si="184"/>
        <v>1</v>
      </c>
      <c r="L752" s="208" t="s">
        <v>81</v>
      </c>
      <c r="M752" s="227">
        <f t="shared" ref="M752:M754" si="185">LEFT(J752,SEARCH(" ",J752,1)-1)*K752</f>
        <v>9</v>
      </c>
      <c r="N752" s="208" t="s">
        <v>139</v>
      </c>
      <c r="O752" s="246">
        <v>0.5</v>
      </c>
      <c r="P752" s="208" t="s">
        <v>112</v>
      </c>
      <c r="Q752" s="240">
        <f t="shared" ref="Q752:Q755" si="186">M752*O752</f>
        <v>4.5</v>
      </c>
      <c r="R752" s="239">
        <v>1</v>
      </c>
      <c r="S752" s="240">
        <f t="shared" si="174"/>
        <v>5.5</v>
      </c>
      <c r="T752" s="216" t="s">
        <v>48</v>
      </c>
      <c r="U752" s="196" t="str">
        <f t="shared" si="172"/>
        <v>5.5 Hrs</v>
      </c>
    </row>
    <row r="753" spans="3:21" s="185" customFormat="1" ht="20.25" customHeight="1">
      <c r="C753" s="198"/>
      <c r="D753" s="203">
        <f t="shared" si="159"/>
        <v>753</v>
      </c>
      <c r="E753" s="207" t="s">
        <v>146</v>
      </c>
      <c r="F753" s="211">
        <f t="shared" ref="F753:F755" si="187">D752</f>
        <v>752</v>
      </c>
      <c r="G753" s="206" t="s">
        <v>52</v>
      </c>
      <c r="H753" s="206"/>
      <c r="I753" s="233" t="str">
        <f t="shared" si="184"/>
        <v>30/25</v>
      </c>
      <c r="J753" s="211" t="str">
        <f t="shared" si="184"/>
        <v>29 rmt</v>
      </c>
      <c r="K753" s="225">
        <f t="shared" si="184"/>
        <v>1</v>
      </c>
      <c r="L753" s="208" t="s">
        <v>81</v>
      </c>
      <c r="M753" s="227">
        <f t="shared" si="185"/>
        <v>29</v>
      </c>
      <c r="N753" s="208" t="s">
        <v>139</v>
      </c>
      <c r="O753" s="246">
        <v>0.5</v>
      </c>
      <c r="P753" s="208" t="s">
        <v>112</v>
      </c>
      <c r="Q753" s="240">
        <f t="shared" si="186"/>
        <v>14.5</v>
      </c>
      <c r="R753" s="239">
        <v>1</v>
      </c>
      <c r="S753" s="240">
        <f t="shared" si="174"/>
        <v>15.5</v>
      </c>
      <c r="T753" s="216" t="s">
        <v>48</v>
      </c>
      <c r="U753" s="196" t="str">
        <f t="shared" si="172"/>
        <v>15.5 Hrs</v>
      </c>
    </row>
    <row r="754" spans="3:21" s="185" customFormat="1" ht="20.25" customHeight="1">
      <c r="C754" s="198"/>
      <c r="D754" s="203">
        <f t="shared" si="159"/>
        <v>754</v>
      </c>
      <c r="E754" s="207" t="s">
        <v>147</v>
      </c>
      <c r="F754" s="211">
        <f t="shared" si="187"/>
        <v>753</v>
      </c>
      <c r="G754" s="206" t="s">
        <v>52</v>
      </c>
      <c r="H754" s="206"/>
      <c r="I754" s="233">
        <f t="shared" si="184"/>
        <v>25</v>
      </c>
      <c r="J754" s="211" t="str">
        <f t="shared" si="184"/>
        <v>10.5 Rmt</v>
      </c>
      <c r="K754" s="225">
        <f t="shared" si="184"/>
        <v>1</v>
      </c>
      <c r="L754" s="208" t="s">
        <v>81</v>
      </c>
      <c r="M754" s="227">
        <f t="shared" si="185"/>
        <v>10.5</v>
      </c>
      <c r="N754" s="208" t="s">
        <v>139</v>
      </c>
      <c r="O754" s="246">
        <f>VLOOKUP(I754,BM!$A$2:$X$104,3,FALSE)</f>
        <v>0.25</v>
      </c>
      <c r="P754" s="208" t="s">
        <v>112</v>
      </c>
      <c r="Q754" s="240">
        <f t="shared" si="186"/>
        <v>2.625</v>
      </c>
      <c r="R754" s="239">
        <v>1</v>
      </c>
      <c r="S754" s="240">
        <f t="shared" si="174"/>
        <v>3.63</v>
      </c>
      <c r="T754" s="216" t="s">
        <v>48</v>
      </c>
      <c r="U754" s="196" t="str">
        <f t="shared" si="172"/>
        <v>3.63 Hrs</v>
      </c>
    </row>
    <row r="755" spans="3:21" s="185" customFormat="1" ht="20.25" customHeight="1">
      <c r="C755" s="198"/>
      <c r="D755" s="203">
        <f t="shared" si="159"/>
        <v>755</v>
      </c>
      <c r="E755" s="207" t="s">
        <v>148</v>
      </c>
      <c r="F755" s="211">
        <f t="shared" si="187"/>
        <v>754</v>
      </c>
      <c r="G755" s="206" t="s">
        <v>149</v>
      </c>
      <c r="H755" s="206"/>
      <c r="I755" s="224">
        <v>25</v>
      </c>
      <c r="J755" s="208"/>
      <c r="K755" s="234"/>
      <c r="L755" s="208"/>
      <c r="M755" s="235">
        <f>M752+M753+M754</f>
        <v>48.5</v>
      </c>
      <c r="N755" s="208" t="s">
        <v>139</v>
      </c>
      <c r="O755" s="246">
        <f>VLOOKUP(I755,BM!$A$2:$X$104,4,FALSE)</f>
        <v>0.15</v>
      </c>
      <c r="P755" s="208" t="s">
        <v>112</v>
      </c>
      <c r="Q755" s="240">
        <f t="shared" si="186"/>
        <v>7.2749999999999995</v>
      </c>
      <c r="R755" s="239">
        <v>1</v>
      </c>
      <c r="S755" s="240">
        <f t="shared" si="174"/>
        <v>8.2799999999999994</v>
      </c>
      <c r="T755" s="216" t="s">
        <v>48</v>
      </c>
      <c r="U755" s="196" t="str">
        <f t="shared" si="172"/>
        <v>8.28 Hrs</v>
      </c>
    </row>
    <row r="756" spans="3:21" s="185" customFormat="1" ht="20.25" customHeight="1">
      <c r="C756" s="198">
        <f>D756</f>
        <v>756</v>
      </c>
      <c r="D756" s="203">
        <f t="shared" si="159"/>
        <v>756</v>
      </c>
      <c r="E756" s="204" t="s">
        <v>150</v>
      </c>
      <c r="F756" s="210">
        <f>D751</f>
        <v>751</v>
      </c>
      <c r="G756" s="206"/>
      <c r="H756" s="206"/>
      <c r="I756" s="208"/>
      <c r="J756" s="208"/>
      <c r="K756" s="234"/>
      <c r="L756" s="208"/>
      <c r="M756" s="217"/>
      <c r="N756" s="208"/>
      <c r="O756" s="218"/>
      <c r="P756" s="208"/>
      <c r="Q756" s="240"/>
      <c r="R756" s="239"/>
      <c r="S756" s="240"/>
      <c r="T756" s="216"/>
      <c r="U756" s="196"/>
    </row>
    <row r="757" spans="3:21" s="185" customFormat="1" ht="20.25" customHeight="1">
      <c r="C757" s="198"/>
      <c r="D757" s="203">
        <f t="shared" si="159"/>
        <v>757</v>
      </c>
      <c r="E757" s="207" t="s">
        <v>151</v>
      </c>
      <c r="F757" s="211"/>
      <c r="G757" s="206" t="s">
        <v>152</v>
      </c>
      <c r="H757" s="206"/>
      <c r="I757" s="208"/>
      <c r="J757" s="208"/>
      <c r="K757" s="234">
        <v>1</v>
      </c>
      <c r="L757" s="208" t="s">
        <v>84</v>
      </c>
      <c r="M757" s="217">
        <v>1</v>
      </c>
      <c r="N757" s="208" t="s">
        <v>39</v>
      </c>
      <c r="O757" s="218">
        <v>8</v>
      </c>
      <c r="P757" s="208" t="s">
        <v>112</v>
      </c>
      <c r="Q757" s="240">
        <f t="shared" ref="Q757:Q760" si="188">M757*O757</f>
        <v>8</v>
      </c>
      <c r="R757" s="239">
        <v>1</v>
      </c>
      <c r="S757" s="240">
        <f t="shared" si="174"/>
        <v>9</v>
      </c>
      <c r="T757" s="216" t="s">
        <v>48</v>
      </c>
      <c r="U757" s="196" t="str">
        <f t="shared" si="172"/>
        <v>9 Hrs</v>
      </c>
    </row>
    <row r="758" spans="3:21" s="185" customFormat="1" ht="20.25" customHeight="1">
      <c r="C758" s="198"/>
      <c r="D758" s="203">
        <f t="shared" si="159"/>
        <v>758</v>
      </c>
      <c r="E758" s="207" t="s">
        <v>153</v>
      </c>
      <c r="F758" s="211">
        <f t="shared" ref="F758:F760" si="189">D757</f>
        <v>757</v>
      </c>
      <c r="G758" s="206" t="s">
        <v>115</v>
      </c>
      <c r="H758" s="206"/>
      <c r="I758" s="224">
        <v>18</v>
      </c>
      <c r="J758" s="234"/>
      <c r="K758" s="234">
        <v>1</v>
      </c>
      <c r="L758" s="208" t="s">
        <v>84</v>
      </c>
      <c r="M758" s="235">
        <v>4</v>
      </c>
      <c r="N758" s="208" t="s">
        <v>39</v>
      </c>
      <c r="O758" s="229">
        <f>VLOOKUP(I758,BM!$A$2:$X$104,22,FALSE)</f>
        <v>3.4</v>
      </c>
      <c r="P758" s="208" t="s">
        <v>112</v>
      </c>
      <c r="Q758" s="240">
        <f t="shared" si="188"/>
        <v>13.6</v>
      </c>
      <c r="R758" s="239">
        <v>1</v>
      </c>
      <c r="S758" s="240">
        <f t="shared" si="174"/>
        <v>14.6</v>
      </c>
      <c r="T758" s="216" t="s">
        <v>48</v>
      </c>
      <c r="U758" s="196" t="str">
        <f t="shared" si="172"/>
        <v>14.6 Hrs</v>
      </c>
    </row>
    <row r="759" spans="3:21" s="185" customFormat="1" ht="20.25" customHeight="1">
      <c r="C759" s="198"/>
      <c r="D759" s="203">
        <f t="shared" si="159"/>
        <v>759</v>
      </c>
      <c r="E759" s="207" t="s">
        <v>154</v>
      </c>
      <c r="F759" s="211">
        <f t="shared" si="189"/>
        <v>758</v>
      </c>
      <c r="G759" s="206" t="s">
        <v>152</v>
      </c>
      <c r="H759" s="206"/>
      <c r="I759" s="208"/>
      <c r="J759" s="208"/>
      <c r="K759" s="234">
        <v>1</v>
      </c>
      <c r="L759" s="208" t="s">
        <v>84</v>
      </c>
      <c r="M759" s="217">
        <v>1</v>
      </c>
      <c r="N759" s="208" t="s">
        <v>39</v>
      </c>
      <c r="O759" s="218">
        <v>8</v>
      </c>
      <c r="P759" s="208" t="s">
        <v>112</v>
      </c>
      <c r="Q759" s="240">
        <f t="shared" si="188"/>
        <v>8</v>
      </c>
      <c r="R759" s="239">
        <v>1</v>
      </c>
      <c r="S759" s="240">
        <f t="shared" si="174"/>
        <v>9</v>
      </c>
      <c r="T759" s="216" t="s">
        <v>48</v>
      </c>
      <c r="U759" s="196" t="str">
        <f t="shared" si="172"/>
        <v>9 Hrs</v>
      </c>
    </row>
    <row r="760" spans="3:21" s="185" customFormat="1" ht="20.25" customHeight="1">
      <c r="C760" s="198"/>
      <c r="D760" s="203">
        <f t="shared" si="159"/>
        <v>760</v>
      </c>
      <c r="E760" s="207" t="s">
        <v>155</v>
      </c>
      <c r="F760" s="211">
        <f t="shared" si="189"/>
        <v>759</v>
      </c>
      <c r="G760" s="206" t="s">
        <v>156</v>
      </c>
      <c r="H760" s="206"/>
      <c r="I760" s="224">
        <v>18</v>
      </c>
      <c r="J760" s="234"/>
      <c r="K760" s="234">
        <v>1</v>
      </c>
      <c r="L760" s="208" t="s">
        <v>84</v>
      </c>
      <c r="M760" s="235">
        <v>24.8</v>
      </c>
      <c r="N760" s="208" t="s">
        <v>39</v>
      </c>
      <c r="O760" s="229">
        <f>VLOOKUP(I760,BM!$A$2:$X$104,22,FALSE)</f>
        <v>3.4</v>
      </c>
      <c r="P760" s="208" t="s">
        <v>112</v>
      </c>
      <c r="Q760" s="240">
        <f t="shared" si="188"/>
        <v>84.32</v>
      </c>
      <c r="R760" s="239">
        <v>1</v>
      </c>
      <c r="S760" s="240">
        <f t="shared" si="174"/>
        <v>85.32</v>
      </c>
      <c r="T760" s="216" t="s">
        <v>48</v>
      </c>
      <c r="U760" s="196" t="str">
        <f t="shared" si="172"/>
        <v>85.32 Hrs</v>
      </c>
    </row>
    <row r="761" spans="3:21" s="185" customFormat="1" ht="20.25" customHeight="1">
      <c r="C761" s="198">
        <f>D761</f>
        <v>761</v>
      </c>
      <c r="D761" s="203">
        <f t="shared" si="159"/>
        <v>761</v>
      </c>
      <c r="E761" s="204" t="s">
        <v>157</v>
      </c>
      <c r="F761" s="210">
        <f>D756</f>
        <v>756</v>
      </c>
      <c r="G761" s="206"/>
      <c r="H761" s="206"/>
      <c r="I761" s="208"/>
      <c r="J761" s="208"/>
      <c r="K761" s="234"/>
      <c r="L761" s="208"/>
      <c r="M761" s="217"/>
      <c r="N761" s="208"/>
      <c r="O761" s="218"/>
      <c r="P761" s="208"/>
      <c r="Q761" s="240"/>
      <c r="R761" s="239"/>
      <c r="S761" s="240"/>
      <c r="T761" s="216"/>
      <c r="U761" s="196"/>
    </row>
    <row r="762" spans="3:21" s="185" customFormat="1" ht="20.25" customHeight="1">
      <c r="C762" s="198"/>
      <c r="D762" s="203">
        <f t="shared" si="159"/>
        <v>762</v>
      </c>
      <c r="E762" s="207" t="s">
        <v>158</v>
      </c>
      <c r="F762" s="211"/>
      <c r="G762" s="206" t="s">
        <v>159</v>
      </c>
      <c r="H762" s="206"/>
      <c r="I762" s="208"/>
      <c r="J762" s="208"/>
      <c r="K762" s="234">
        <v>1</v>
      </c>
      <c r="L762" s="208" t="s">
        <v>160</v>
      </c>
      <c r="M762" s="217">
        <v>1</v>
      </c>
      <c r="N762" s="208" t="s">
        <v>160</v>
      </c>
      <c r="O762" s="218">
        <v>4</v>
      </c>
      <c r="P762" s="208" t="s">
        <v>41</v>
      </c>
      <c r="Q762" s="240">
        <f t="shared" ref="Q762:Q775" si="190">M762*O762</f>
        <v>4</v>
      </c>
      <c r="R762" s="239"/>
      <c r="S762" s="240">
        <f t="shared" si="174"/>
        <v>4</v>
      </c>
      <c r="T762" s="216" t="s">
        <v>42</v>
      </c>
      <c r="U762" s="196" t="str">
        <f t="shared" si="172"/>
        <v>4 Days</v>
      </c>
    </row>
    <row r="763" spans="3:21" s="185" customFormat="1" ht="20.25" customHeight="1">
      <c r="C763" s="198"/>
      <c r="D763" s="203">
        <f t="shared" si="159"/>
        <v>763</v>
      </c>
      <c r="E763" s="207" t="s">
        <v>161</v>
      </c>
      <c r="F763" s="211">
        <f t="shared" ref="F763:F775" si="191">D762</f>
        <v>762</v>
      </c>
      <c r="G763" s="206" t="s">
        <v>44</v>
      </c>
      <c r="H763" s="206"/>
      <c r="I763" s="208"/>
      <c r="J763" s="208"/>
      <c r="K763" s="234">
        <v>6</v>
      </c>
      <c r="L763" s="208" t="s">
        <v>81</v>
      </c>
      <c r="M763" s="217">
        <v>6</v>
      </c>
      <c r="N763" s="208" t="s">
        <v>81</v>
      </c>
      <c r="O763" s="218">
        <v>0.5</v>
      </c>
      <c r="P763" s="208" t="s">
        <v>162</v>
      </c>
      <c r="Q763" s="240">
        <f t="shared" si="190"/>
        <v>3</v>
      </c>
      <c r="R763" s="239"/>
      <c r="S763" s="240">
        <f t="shared" si="174"/>
        <v>3</v>
      </c>
      <c r="T763" s="216" t="s">
        <v>48</v>
      </c>
      <c r="U763" s="196" t="str">
        <f t="shared" si="172"/>
        <v>3 Hrs</v>
      </c>
    </row>
    <row r="764" spans="3:21" s="185" customFormat="1" ht="20.25" customHeight="1">
      <c r="C764" s="198"/>
      <c r="D764" s="203">
        <f t="shared" si="159"/>
        <v>764</v>
      </c>
      <c r="E764" s="207" t="s">
        <v>163</v>
      </c>
      <c r="F764" s="211">
        <f t="shared" si="191"/>
        <v>763</v>
      </c>
      <c r="G764" s="206" t="s">
        <v>44</v>
      </c>
      <c r="H764" s="206"/>
      <c r="I764" s="224">
        <v>16</v>
      </c>
      <c r="J764" s="208"/>
      <c r="K764" s="234">
        <v>4</v>
      </c>
      <c r="L764" s="208" t="s">
        <v>81</v>
      </c>
      <c r="M764" s="235">
        <f>K764</f>
        <v>4</v>
      </c>
      <c r="N764" s="208" t="s">
        <v>81</v>
      </c>
      <c r="O764" s="218">
        <v>0.5</v>
      </c>
      <c r="P764" s="208" t="s">
        <v>162</v>
      </c>
      <c r="Q764" s="240">
        <f t="shared" si="190"/>
        <v>2</v>
      </c>
      <c r="R764" s="239"/>
      <c r="S764" s="240">
        <f t="shared" si="174"/>
        <v>2</v>
      </c>
      <c r="T764" s="216" t="s">
        <v>48</v>
      </c>
      <c r="U764" s="196" t="str">
        <f t="shared" si="172"/>
        <v>2 Hrs</v>
      </c>
    </row>
    <row r="765" spans="3:21" s="185" customFormat="1" ht="20.25" customHeight="1">
      <c r="C765" s="198"/>
      <c r="D765" s="203">
        <f t="shared" si="159"/>
        <v>765</v>
      </c>
      <c r="E765" s="207" t="s">
        <v>164</v>
      </c>
      <c r="F765" s="211">
        <f t="shared" si="191"/>
        <v>764</v>
      </c>
      <c r="G765" s="206" t="s">
        <v>44</v>
      </c>
      <c r="H765" s="206"/>
      <c r="I765" s="224">
        <v>16</v>
      </c>
      <c r="J765" s="208"/>
      <c r="K765" s="234">
        <v>4</v>
      </c>
      <c r="L765" s="208" t="s">
        <v>81</v>
      </c>
      <c r="M765" s="235">
        <f>K765</f>
        <v>4</v>
      </c>
      <c r="N765" s="208" t="s">
        <v>81</v>
      </c>
      <c r="O765" s="218">
        <v>0.5</v>
      </c>
      <c r="P765" s="208" t="s">
        <v>162</v>
      </c>
      <c r="Q765" s="240">
        <f t="shared" si="190"/>
        <v>2</v>
      </c>
      <c r="R765" s="239"/>
      <c r="S765" s="240">
        <f t="shared" si="174"/>
        <v>2</v>
      </c>
      <c r="T765" s="216" t="s">
        <v>48</v>
      </c>
      <c r="U765" s="196" t="str">
        <f t="shared" si="172"/>
        <v>2 Hrs</v>
      </c>
    </row>
    <row r="766" spans="3:21" s="185" customFormat="1" ht="20.25" customHeight="1">
      <c r="C766" s="198"/>
      <c r="D766" s="203">
        <f t="shared" si="159"/>
        <v>766</v>
      </c>
      <c r="E766" s="207" t="s">
        <v>165</v>
      </c>
      <c r="F766" s="211">
        <f t="shared" si="191"/>
        <v>765</v>
      </c>
      <c r="G766" s="206" t="s">
        <v>44</v>
      </c>
      <c r="H766" s="206"/>
      <c r="I766" s="224">
        <v>30</v>
      </c>
      <c r="J766" s="208"/>
      <c r="K766" s="234">
        <v>2</v>
      </c>
      <c r="L766" s="208" t="s">
        <v>81</v>
      </c>
      <c r="M766" s="235">
        <f>K766</f>
        <v>2</v>
      </c>
      <c r="N766" s="208" t="s">
        <v>81</v>
      </c>
      <c r="O766" s="218">
        <v>0.5</v>
      </c>
      <c r="P766" s="208" t="s">
        <v>162</v>
      </c>
      <c r="Q766" s="240">
        <f t="shared" si="190"/>
        <v>1</v>
      </c>
      <c r="R766" s="239"/>
      <c r="S766" s="240">
        <f t="shared" si="174"/>
        <v>1</v>
      </c>
      <c r="T766" s="216" t="s">
        <v>48</v>
      </c>
      <c r="U766" s="196" t="str">
        <f t="shared" si="172"/>
        <v>1 Hrs</v>
      </c>
    </row>
    <row r="767" spans="3:21" s="185" customFormat="1" ht="20.25" customHeight="1">
      <c r="C767" s="198"/>
      <c r="D767" s="203">
        <f t="shared" si="159"/>
        <v>767</v>
      </c>
      <c r="E767" s="207" t="s">
        <v>166</v>
      </c>
      <c r="F767" s="211">
        <f t="shared" si="191"/>
        <v>766</v>
      </c>
      <c r="G767" s="206" t="s">
        <v>52</v>
      </c>
      <c r="H767" s="206"/>
      <c r="I767" s="208"/>
      <c r="J767" s="208"/>
      <c r="K767" s="234">
        <v>6</v>
      </c>
      <c r="L767" s="208" t="s">
        <v>81</v>
      </c>
      <c r="M767" s="235">
        <f>K767</f>
        <v>6</v>
      </c>
      <c r="N767" s="208" t="s">
        <v>81</v>
      </c>
      <c r="O767" s="218">
        <v>0.5</v>
      </c>
      <c r="P767" s="208" t="s">
        <v>162</v>
      </c>
      <c r="Q767" s="240">
        <f t="shared" si="190"/>
        <v>3</v>
      </c>
      <c r="R767" s="239"/>
      <c r="S767" s="240">
        <f t="shared" si="174"/>
        <v>3</v>
      </c>
      <c r="T767" s="216" t="s">
        <v>48</v>
      </c>
      <c r="U767" s="196" t="str">
        <f t="shared" si="172"/>
        <v>3 Hrs</v>
      </c>
    </row>
    <row r="768" spans="3:21" s="185" customFormat="1" ht="20.25" customHeight="1">
      <c r="C768" s="198"/>
      <c r="D768" s="203">
        <f t="shared" si="159"/>
        <v>768</v>
      </c>
      <c r="E768" s="207" t="s">
        <v>167</v>
      </c>
      <c r="F768" s="211">
        <f t="shared" si="191"/>
        <v>767</v>
      </c>
      <c r="G768" s="206" t="s">
        <v>52</v>
      </c>
      <c r="H768" s="206"/>
      <c r="I768" s="208"/>
      <c r="J768" s="208"/>
      <c r="K768" s="234">
        <v>4</v>
      </c>
      <c r="L768" s="208" t="s">
        <v>81</v>
      </c>
      <c r="M768" s="235">
        <f t="shared" ref="M768:M775" si="192">K768</f>
        <v>4</v>
      </c>
      <c r="N768" s="208" t="s">
        <v>81</v>
      </c>
      <c r="O768" s="218">
        <v>0.5</v>
      </c>
      <c r="P768" s="208" t="s">
        <v>162</v>
      </c>
      <c r="Q768" s="240">
        <f t="shared" si="190"/>
        <v>2</v>
      </c>
      <c r="R768" s="239"/>
      <c r="S768" s="240">
        <f t="shared" si="174"/>
        <v>2</v>
      </c>
      <c r="T768" s="216" t="s">
        <v>48</v>
      </c>
      <c r="U768" s="196" t="str">
        <f t="shared" si="172"/>
        <v>2 Hrs</v>
      </c>
    </row>
    <row r="769" spans="3:21" s="185" customFormat="1" ht="20.25" customHeight="1">
      <c r="C769" s="198"/>
      <c r="D769" s="203">
        <f t="shared" si="159"/>
        <v>769</v>
      </c>
      <c r="E769" s="207" t="s">
        <v>168</v>
      </c>
      <c r="F769" s="211">
        <f t="shared" si="191"/>
        <v>768</v>
      </c>
      <c r="G769" s="206" t="s">
        <v>44</v>
      </c>
      <c r="H769" s="206"/>
      <c r="I769" s="208"/>
      <c r="J769" s="208"/>
      <c r="K769" s="234">
        <v>6</v>
      </c>
      <c r="L769" s="208" t="s">
        <v>81</v>
      </c>
      <c r="M769" s="235">
        <f t="shared" si="192"/>
        <v>6</v>
      </c>
      <c r="N769" s="208" t="s">
        <v>81</v>
      </c>
      <c r="O769" s="218">
        <v>0.5</v>
      </c>
      <c r="P769" s="208" t="s">
        <v>162</v>
      </c>
      <c r="Q769" s="240">
        <f t="shared" si="190"/>
        <v>3</v>
      </c>
      <c r="R769" s="239"/>
      <c r="S769" s="240">
        <f t="shared" si="174"/>
        <v>3</v>
      </c>
      <c r="T769" s="216" t="s">
        <v>48</v>
      </c>
      <c r="U769" s="196" t="str">
        <f t="shared" si="172"/>
        <v>3 Hrs</v>
      </c>
    </row>
    <row r="770" spans="3:21" s="185" customFormat="1" ht="20.25" customHeight="1">
      <c r="C770" s="198"/>
      <c r="D770" s="203">
        <f t="shared" si="159"/>
        <v>770</v>
      </c>
      <c r="E770" s="207" t="s">
        <v>169</v>
      </c>
      <c r="F770" s="211">
        <f t="shared" si="191"/>
        <v>769</v>
      </c>
      <c r="G770" s="206" t="s">
        <v>61</v>
      </c>
      <c r="H770" s="206"/>
      <c r="I770" s="208"/>
      <c r="J770" s="208"/>
      <c r="K770" s="234">
        <v>10</v>
      </c>
      <c r="L770" s="208" t="s">
        <v>81</v>
      </c>
      <c r="M770" s="235">
        <f t="shared" si="192"/>
        <v>10</v>
      </c>
      <c r="N770" s="208" t="s">
        <v>81</v>
      </c>
      <c r="O770" s="218">
        <v>0.5</v>
      </c>
      <c r="P770" s="208" t="s">
        <v>162</v>
      </c>
      <c r="Q770" s="240">
        <f t="shared" si="190"/>
        <v>5</v>
      </c>
      <c r="R770" s="239"/>
      <c r="S770" s="240">
        <f t="shared" si="174"/>
        <v>5</v>
      </c>
      <c r="T770" s="216" t="s">
        <v>48</v>
      </c>
      <c r="U770" s="196" t="str">
        <f t="shared" si="172"/>
        <v>5 Hrs</v>
      </c>
    </row>
    <row r="771" spans="3:21" s="185" customFormat="1" ht="20.25" customHeight="1">
      <c r="C771" s="198"/>
      <c r="D771" s="203">
        <f t="shared" si="159"/>
        <v>771</v>
      </c>
      <c r="E771" s="207" t="s">
        <v>170</v>
      </c>
      <c r="F771" s="211">
        <f t="shared" si="191"/>
        <v>770</v>
      </c>
      <c r="G771" s="206" t="s">
        <v>61</v>
      </c>
      <c r="H771" s="206"/>
      <c r="I771" s="208"/>
      <c r="J771" s="208"/>
      <c r="K771" s="234">
        <v>2</v>
      </c>
      <c r="L771" s="208" t="s">
        <v>81</v>
      </c>
      <c r="M771" s="235">
        <f t="shared" si="192"/>
        <v>2</v>
      </c>
      <c r="N771" s="208" t="s">
        <v>81</v>
      </c>
      <c r="O771" s="218">
        <v>0.5</v>
      </c>
      <c r="P771" s="208" t="s">
        <v>162</v>
      </c>
      <c r="Q771" s="240">
        <f t="shared" si="190"/>
        <v>1</v>
      </c>
      <c r="R771" s="239"/>
      <c r="S771" s="240">
        <f t="shared" si="174"/>
        <v>1</v>
      </c>
      <c r="T771" s="216" t="s">
        <v>48</v>
      </c>
      <c r="U771" s="196" t="str">
        <f t="shared" si="172"/>
        <v>1 Hrs</v>
      </c>
    </row>
    <row r="772" spans="3:21" s="185" customFormat="1" ht="20.25" customHeight="1">
      <c r="C772" s="198"/>
      <c r="D772" s="203">
        <f t="shared" ref="D772:D835" si="193">D771+1</f>
        <v>772</v>
      </c>
      <c r="E772" s="207" t="s">
        <v>171</v>
      </c>
      <c r="F772" s="211">
        <f t="shared" si="191"/>
        <v>771</v>
      </c>
      <c r="G772" s="206" t="s">
        <v>172</v>
      </c>
      <c r="H772" s="206"/>
      <c r="I772" s="208"/>
      <c r="J772" s="208"/>
      <c r="K772" s="234">
        <v>2</v>
      </c>
      <c r="L772" s="208" t="s">
        <v>81</v>
      </c>
      <c r="M772" s="235">
        <f t="shared" si="192"/>
        <v>2</v>
      </c>
      <c r="N772" s="208" t="s">
        <v>81</v>
      </c>
      <c r="O772" s="218">
        <v>0.5</v>
      </c>
      <c r="P772" s="208" t="s">
        <v>162</v>
      </c>
      <c r="Q772" s="240">
        <f t="shared" si="190"/>
        <v>1</v>
      </c>
      <c r="R772" s="239"/>
      <c r="S772" s="240">
        <f t="shared" si="174"/>
        <v>1</v>
      </c>
      <c r="T772" s="216" t="s">
        <v>48</v>
      </c>
      <c r="U772" s="196" t="str">
        <f t="shared" si="172"/>
        <v>1 Hrs</v>
      </c>
    </row>
    <row r="773" spans="3:21" s="185" customFormat="1" ht="20.25" customHeight="1">
      <c r="C773" s="198"/>
      <c r="D773" s="203">
        <f t="shared" si="193"/>
        <v>773</v>
      </c>
      <c r="E773" s="207" t="s">
        <v>173</v>
      </c>
      <c r="F773" s="211">
        <f t="shared" si="191"/>
        <v>772</v>
      </c>
      <c r="G773" s="206" t="s">
        <v>115</v>
      </c>
      <c r="H773" s="206"/>
      <c r="I773" s="208"/>
      <c r="J773" s="208"/>
      <c r="K773" s="234">
        <v>2</v>
      </c>
      <c r="L773" s="208" t="s">
        <v>81</v>
      </c>
      <c r="M773" s="235">
        <f t="shared" si="192"/>
        <v>2</v>
      </c>
      <c r="N773" s="208" t="s">
        <v>81</v>
      </c>
      <c r="O773" s="218">
        <v>0.5</v>
      </c>
      <c r="P773" s="208" t="s">
        <v>162</v>
      </c>
      <c r="Q773" s="240">
        <f t="shared" si="190"/>
        <v>1</v>
      </c>
      <c r="R773" s="239"/>
      <c r="S773" s="240">
        <f t="shared" si="174"/>
        <v>1</v>
      </c>
      <c r="T773" s="216" t="s">
        <v>48</v>
      </c>
      <c r="U773" s="196" t="str">
        <f t="shared" si="172"/>
        <v>1 Hrs</v>
      </c>
    </row>
    <row r="774" spans="3:21" s="185" customFormat="1" ht="20.25" customHeight="1">
      <c r="C774" s="198"/>
      <c r="D774" s="203">
        <f t="shared" si="193"/>
        <v>774</v>
      </c>
      <c r="E774" s="207" t="s">
        <v>174</v>
      </c>
      <c r="F774" s="211">
        <f t="shared" si="191"/>
        <v>773</v>
      </c>
      <c r="G774" s="206" t="s">
        <v>115</v>
      </c>
      <c r="H774" s="206"/>
      <c r="I774" s="208"/>
      <c r="J774" s="208"/>
      <c r="K774" s="234">
        <v>2</v>
      </c>
      <c r="L774" s="208" t="s">
        <v>81</v>
      </c>
      <c r="M774" s="235">
        <f t="shared" si="192"/>
        <v>2</v>
      </c>
      <c r="N774" s="208" t="s">
        <v>81</v>
      </c>
      <c r="O774" s="218">
        <v>0.5</v>
      </c>
      <c r="P774" s="208" t="s">
        <v>162</v>
      </c>
      <c r="Q774" s="240">
        <f t="shared" si="190"/>
        <v>1</v>
      </c>
      <c r="R774" s="239"/>
      <c r="S774" s="240">
        <f t="shared" si="174"/>
        <v>1</v>
      </c>
      <c r="T774" s="216" t="s">
        <v>48</v>
      </c>
      <c r="U774" s="196" t="str">
        <f t="shared" si="172"/>
        <v>1 Hrs</v>
      </c>
    </row>
    <row r="775" spans="3:21" s="185" customFormat="1" ht="20.25" customHeight="1">
      <c r="C775" s="198"/>
      <c r="D775" s="203">
        <f t="shared" si="193"/>
        <v>775</v>
      </c>
      <c r="E775" s="207" t="s">
        <v>175</v>
      </c>
      <c r="F775" s="211">
        <f t="shared" si="191"/>
        <v>774</v>
      </c>
      <c r="G775" s="206" t="s">
        <v>44</v>
      </c>
      <c r="H775" s="206"/>
      <c r="I775" s="208"/>
      <c r="J775" s="208"/>
      <c r="K775" s="234">
        <v>4</v>
      </c>
      <c r="L775" s="208" t="s">
        <v>81</v>
      </c>
      <c r="M775" s="235">
        <f t="shared" si="192"/>
        <v>4</v>
      </c>
      <c r="N775" s="208" t="s">
        <v>81</v>
      </c>
      <c r="O775" s="218">
        <v>0.5</v>
      </c>
      <c r="P775" s="208" t="s">
        <v>162</v>
      </c>
      <c r="Q775" s="240">
        <f t="shared" si="190"/>
        <v>2</v>
      </c>
      <c r="R775" s="239"/>
      <c r="S775" s="240">
        <f t="shared" si="174"/>
        <v>2</v>
      </c>
      <c r="T775" s="216" t="s">
        <v>48</v>
      </c>
      <c r="U775" s="196" t="str">
        <f t="shared" si="172"/>
        <v>2 Hrs</v>
      </c>
    </row>
    <row r="776" spans="3:21" s="185" customFormat="1" ht="20.25" customHeight="1">
      <c r="C776" s="198">
        <f>D776</f>
        <v>776</v>
      </c>
      <c r="D776" s="203">
        <f t="shared" si="193"/>
        <v>776</v>
      </c>
      <c r="E776" s="204" t="s">
        <v>176</v>
      </c>
      <c r="F776" s="210">
        <f>D761</f>
        <v>761</v>
      </c>
      <c r="G776" s="206"/>
      <c r="H776" s="206"/>
      <c r="I776" s="208"/>
      <c r="J776" s="208"/>
      <c r="K776" s="234"/>
      <c r="L776" s="208"/>
      <c r="M776" s="217"/>
      <c r="N776" s="208"/>
      <c r="O776" s="218"/>
      <c r="P776" s="208"/>
      <c r="Q776" s="240"/>
      <c r="R776" s="239"/>
      <c r="S776" s="240"/>
      <c r="T776" s="216"/>
      <c r="U776" s="196"/>
    </row>
    <row r="777" spans="3:21" s="185" customFormat="1" ht="20.25" customHeight="1">
      <c r="C777" s="198"/>
      <c r="D777" s="203">
        <f t="shared" si="193"/>
        <v>777</v>
      </c>
      <c r="E777" s="207" t="s">
        <v>135</v>
      </c>
      <c r="F777" s="211"/>
      <c r="G777" s="206"/>
      <c r="H777" s="206"/>
      <c r="I777" s="208"/>
      <c r="J777" s="208"/>
      <c r="K777" s="234">
        <v>1</v>
      </c>
      <c r="L777" s="208" t="s">
        <v>160</v>
      </c>
      <c r="M777" s="217">
        <v>1</v>
      </c>
      <c r="N777" s="208" t="s">
        <v>160</v>
      </c>
      <c r="O777" s="218">
        <v>4</v>
      </c>
      <c r="P777" s="208" t="s">
        <v>177</v>
      </c>
      <c r="Q777" s="240">
        <f t="shared" ref="Q777:Q780" si="194">M777*O777</f>
        <v>4</v>
      </c>
      <c r="R777" s="239"/>
      <c r="S777" s="240">
        <f t="shared" si="174"/>
        <v>4</v>
      </c>
      <c r="T777" s="216" t="s">
        <v>42</v>
      </c>
      <c r="U777" s="196" t="str">
        <f t="shared" si="172"/>
        <v>4 Days</v>
      </c>
    </row>
    <row r="778" spans="3:21" s="185" customFormat="1" ht="20.25" customHeight="1">
      <c r="C778" s="198"/>
      <c r="D778" s="203">
        <f t="shared" si="193"/>
        <v>778</v>
      </c>
      <c r="E778" s="207" t="s">
        <v>178</v>
      </c>
      <c r="F778" s="211">
        <f t="shared" ref="F778:F780" si="195">D777</f>
        <v>777</v>
      </c>
      <c r="G778" s="206" t="s">
        <v>44</v>
      </c>
      <c r="H778" s="206"/>
      <c r="I778" s="224">
        <v>18</v>
      </c>
      <c r="J778" s="208"/>
      <c r="K778" s="234">
        <v>4</v>
      </c>
      <c r="L778" s="208" t="s">
        <v>81</v>
      </c>
      <c r="M778" s="235">
        <f t="shared" ref="M778:M780" si="196">K778</f>
        <v>4</v>
      </c>
      <c r="N778" s="208" t="s">
        <v>81</v>
      </c>
      <c r="O778" s="218">
        <v>0.5</v>
      </c>
      <c r="P778" s="208" t="s">
        <v>162</v>
      </c>
      <c r="Q778" s="240">
        <f t="shared" si="194"/>
        <v>2</v>
      </c>
      <c r="R778" s="239"/>
      <c r="S778" s="240">
        <f t="shared" si="174"/>
        <v>2</v>
      </c>
      <c r="T778" s="216" t="s">
        <v>48</v>
      </c>
      <c r="U778" s="196" t="str">
        <f t="shared" si="172"/>
        <v>2 Hrs</v>
      </c>
    </row>
    <row r="779" spans="3:21" s="185" customFormat="1" ht="20.25" customHeight="1">
      <c r="C779" s="198"/>
      <c r="D779" s="203">
        <f t="shared" si="193"/>
        <v>779</v>
      </c>
      <c r="E779" s="207" t="s">
        <v>179</v>
      </c>
      <c r="F779" s="211">
        <f t="shared" si="195"/>
        <v>778</v>
      </c>
      <c r="G779" s="206" t="s">
        <v>52</v>
      </c>
      <c r="H779" s="206"/>
      <c r="I779" s="208"/>
      <c r="J779" s="208"/>
      <c r="K779" s="234">
        <v>4</v>
      </c>
      <c r="L779" s="208" t="s">
        <v>81</v>
      </c>
      <c r="M779" s="235">
        <f t="shared" si="196"/>
        <v>4</v>
      </c>
      <c r="N779" s="208" t="s">
        <v>81</v>
      </c>
      <c r="O779" s="218">
        <v>0.5</v>
      </c>
      <c r="P779" s="208" t="s">
        <v>162</v>
      </c>
      <c r="Q779" s="240">
        <f t="shared" si="194"/>
        <v>2</v>
      </c>
      <c r="R779" s="239"/>
      <c r="S779" s="240">
        <f t="shared" si="174"/>
        <v>2</v>
      </c>
      <c r="T779" s="216" t="s">
        <v>48</v>
      </c>
      <c r="U779" s="196" t="str">
        <f t="shared" si="172"/>
        <v>2 Hrs</v>
      </c>
    </row>
    <row r="780" spans="3:21" s="185" customFormat="1" ht="20.25" customHeight="1">
      <c r="C780" s="198"/>
      <c r="D780" s="203">
        <f t="shared" si="193"/>
        <v>780</v>
      </c>
      <c r="E780" s="207" t="s">
        <v>180</v>
      </c>
      <c r="F780" s="211">
        <f t="shared" si="195"/>
        <v>779</v>
      </c>
      <c r="G780" s="206" t="s">
        <v>121</v>
      </c>
      <c r="H780" s="206"/>
      <c r="I780" s="208"/>
      <c r="J780" s="208"/>
      <c r="K780" s="234">
        <v>4</v>
      </c>
      <c r="L780" s="208" t="s">
        <v>81</v>
      </c>
      <c r="M780" s="235">
        <f t="shared" si="196"/>
        <v>4</v>
      </c>
      <c r="N780" s="208" t="s">
        <v>81</v>
      </c>
      <c r="O780" s="218">
        <v>0.5</v>
      </c>
      <c r="P780" s="208" t="s">
        <v>162</v>
      </c>
      <c r="Q780" s="240">
        <f t="shared" si="194"/>
        <v>2</v>
      </c>
      <c r="R780" s="239"/>
      <c r="S780" s="240">
        <f t="shared" si="174"/>
        <v>2</v>
      </c>
      <c r="T780" s="216" t="s">
        <v>48</v>
      </c>
      <c r="U780" s="196" t="str">
        <f t="shared" si="172"/>
        <v>2 Hrs</v>
      </c>
    </row>
    <row r="781" spans="3:21" s="185" customFormat="1" ht="20.25" customHeight="1">
      <c r="C781" s="198">
        <f>D781</f>
        <v>781</v>
      </c>
      <c r="D781" s="203">
        <f t="shared" si="193"/>
        <v>781</v>
      </c>
      <c r="E781" s="204" t="s">
        <v>181</v>
      </c>
      <c r="F781" s="210">
        <f>D776</f>
        <v>776</v>
      </c>
      <c r="G781" s="206"/>
      <c r="H781" s="206"/>
      <c r="I781" s="208"/>
      <c r="J781" s="208"/>
      <c r="K781" s="234"/>
      <c r="L781" s="208"/>
      <c r="M781" s="217"/>
      <c r="N781" s="208"/>
      <c r="O781" s="218"/>
      <c r="P781" s="208"/>
      <c r="Q781" s="240"/>
      <c r="R781" s="239"/>
      <c r="S781" s="240"/>
      <c r="T781" s="216"/>
      <c r="U781" s="196"/>
    </row>
    <row r="782" spans="3:21" s="185" customFormat="1" ht="20.25" customHeight="1">
      <c r="C782" s="198"/>
      <c r="D782" s="203">
        <f t="shared" si="193"/>
        <v>782</v>
      </c>
      <c r="E782" s="207" t="s">
        <v>182</v>
      </c>
      <c r="F782" s="211"/>
      <c r="G782" s="206" t="s">
        <v>44</v>
      </c>
      <c r="H782" s="206"/>
      <c r="I782" s="224">
        <v>24</v>
      </c>
      <c r="J782" s="208"/>
      <c r="K782" s="234">
        <v>1</v>
      </c>
      <c r="L782" s="208" t="s">
        <v>160</v>
      </c>
      <c r="M782" s="217">
        <v>1</v>
      </c>
      <c r="N782" s="208" t="s">
        <v>160</v>
      </c>
      <c r="O782" s="218">
        <v>4</v>
      </c>
      <c r="P782" s="208" t="s">
        <v>177</v>
      </c>
      <c r="Q782" s="240">
        <f t="shared" ref="Q782:Q785" si="197">M782*O782</f>
        <v>4</v>
      </c>
      <c r="R782" s="239"/>
      <c r="S782" s="240">
        <f t="shared" si="174"/>
        <v>4</v>
      </c>
      <c r="T782" s="216" t="s">
        <v>42</v>
      </c>
      <c r="U782" s="196" t="str">
        <f t="shared" si="172"/>
        <v>4 Days</v>
      </c>
    </row>
    <row r="783" spans="3:21" s="185" customFormat="1" ht="20.25" customHeight="1">
      <c r="C783" s="198"/>
      <c r="D783" s="203">
        <f t="shared" si="193"/>
        <v>783</v>
      </c>
      <c r="E783" s="207" t="s">
        <v>183</v>
      </c>
      <c r="F783" s="211">
        <f t="shared" ref="F783:F785" si="198">D782</f>
        <v>782</v>
      </c>
      <c r="G783" s="206" t="s">
        <v>52</v>
      </c>
      <c r="H783" s="206"/>
      <c r="I783" s="208"/>
      <c r="J783" s="208"/>
      <c r="K783" s="234">
        <v>4</v>
      </c>
      <c r="L783" s="208" t="s">
        <v>81</v>
      </c>
      <c r="M783" s="235">
        <f t="shared" ref="M783:M785" si="199">K783</f>
        <v>4</v>
      </c>
      <c r="N783" s="208" t="s">
        <v>81</v>
      </c>
      <c r="O783" s="218">
        <v>0.5</v>
      </c>
      <c r="P783" s="208" t="s">
        <v>162</v>
      </c>
      <c r="Q783" s="240">
        <f t="shared" si="197"/>
        <v>2</v>
      </c>
      <c r="R783" s="239"/>
      <c r="S783" s="240">
        <f t="shared" si="174"/>
        <v>2</v>
      </c>
      <c r="T783" s="216" t="s">
        <v>48</v>
      </c>
      <c r="U783" s="196" t="str">
        <f t="shared" si="172"/>
        <v>2 Hrs</v>
      </c>
    </row>
    <row r="784" spans="3:21" s="185" customFormat="1" ht="20.25" customHeight="1">
      <c r="C784" s="198"/>
      <c r="D784" s="203">
        <f t="shared" si="193"/>
        <v>784</v>
      </c>
      <c r="E784" s="207" t="s">
        <v>184</v>
      </c>
      <c r="F784" s="211">
        <f t="shared" si="198"/>
        <v>783</v>
      </c>
      <c r="G784" s="206" t="s">
        <v>121</v>
      </c>
      <c r="H784" s="206"/>
      <c r="I784" s="208"/>
      <c r="J784" s="208"/>
      <c r="K784" s="234">
        <v>4</v>
      </c>
      <c r="L784" s="208" t="s">
        <v>81</v>
      </c>
      <c r="M784" s="235">
        <f t="shared" si="199"/>
        <v>4</v>
      </c>
      <c r="N784" s="208" t="s">
        <v>81</v>
      </c>
      <c r="O784" s="218">
        <v>0.5</v>
      </c>
      <c r="P784" s="208" t="s">
        <v>162</v>
      </c>
      <c r="Q784" s="240">
        <f t="shared" si="197"/>
        <v>2</v>
      </c>
      <c r="R784" s="239"/>
      <c r="S784" s="240">
        <f t="shared" si="174"/>
        <v>2</v>
      </c>
      <c r="T784" s="216" t="s">
        <v>48</v>
      </c>
      <c r="U784" s="196" t="str">
        <f t="shared" si="172"/>
        <v>2 Hrs</v>
      </c>
    </row>
    <row r="785" spans="3:21" s="185" customFormat="1" ht="20.25" customHeight="1">
      <c r="C785" s="198"/>
      <c r="D785" s="203">
        <f t="shared" si="193"/>
        <v>785</v>
      </c>
      <c r="E785" s="207" t="s">
        <v>185</v>
      </c>
      <c r="F785" s="211">
        <f t="shared" si="198"/>
        <v>784</v>
      </c>
      <c r="G785" s="206" t="s">
        <v>44</v>
      </c>
      <c r="H785" s="206"/>
      <c r="I785" s="208"/>
      <c r="J785" s="208"/>
      <c r="K785" s="234">
        <v>4</v>
      </c>
      <c r="L785" s="208" t="s">
        <v>81</v>
      </c>
      <c r="M785" s="235">
        <f t="shared" si="199"/>
        <v>4</v>
      </c>
      <c r="N785" s="208" t="s">
        <v>81</v>
      </c>
      <c r="O785" s="218">
        <v>0.5</v>
      </c>
      <c r="P785" s="208" t="s">
        <v>162</v>
      </c>
      <c r="Q785" s="240">
        <f t="shared" si="197"/>
        <v>2</v>
      </c>
      <c r="R785" s="239"/>
      <c r="S785" s="240">
        <f t="shared" si="174"/>
        <v>2</v>
      </c>
      <c r="T785" s="216" t="s">
        <v>48</v>
      </c>
      <c r="U785" s="196" t="str">
        <f t="shared" si="172"/>
        <v>2 Hrs</v>
      </c>
    </row>
    <row r="786" spans="3:21" s="185" customFormat="1" ht="20.25" customHeight="1">
      <c r="C786" s="198">
        <f>D786</f>
        <v>786</v>
      </c>
      <c r="D786" s="203">
        <f t="shared" si="193"/>
        <v>786</v>
      </c>
      <c r="E786" s="204" t="s">
        <v>186</v>
      </c>
      <c r="F786" s="210">
        <f>D781</f>
        <v>781</v>
      </c>
      <c r="G786" s="206"/>
      <c r="H786" s="206"/>
      <c r="I786" s="208"/>
      <c r="J786" s="208"/>
      <c r="K786" s="234"/>
      <c r="L786" s="208"/>
      <c r="M786" s="217"/>
      <c r="N786" s="208"/>
      <c r="O786" s="218"/>
      <c r="P786" s="208"/>
      <c r="Q786" s="240"/>
      <c r="R786" s="239"/>
      <c r="S786" s="240"/>
      <c r="T786" s="216"/>
      <c r="U786" s="196"/>
    </row>
    <row r="787" spans="3:21" s="185" customFormat="1" ht="20.25" customHeight="1">
      <c r="C787" s="198"/>
      <c r="D787" s="203">
        <f t="shared" si="193"/>
        <v>787</v>
      </c>
      <c r="E787" s="207" t="s">
        <v>187</v>
      </c>
      <c r="F787" s="211"/>
      <c r="G787" s="206" t="s">
        <v>44</v>
      </c>
      <c r="H787" s="206"/>
      <c r="I787" s="208"/>
      <c r="J787" s="208"/>
      <c r="K787" s="234">
        <v>4</v>
      </c>
      <c r="L787" s="208" t="s">
        <v>81</v>
      </c>
      <c r="M787" s="235">
        <f t="shared" ref="M787:M788" si="200">K787</f>
        <v>4</v>
      </c>
      <c r="N787" s="208" t="s">
        <v>81</v>
      </c>
      <c r="O787" s="218">
        <v>1</v>
      </c>
      <c r="P787" s="208" t="s">
        <v>162</v>
      </c>
      <c r="Q787" s="240">
        <f t="shared" ref="Q787:Q788" si="201">M787*O787</f>
        <v>4</v>
      </c>
      <c r="R787" s="239"/>
      <c r="S787" s="240">
        <f t="shared" si="174"/>
        <v>4</v>
      </c>
      <c r="T787" s="216" t="s">
        <v>42</v>
      </c>
      <c r="U787" s="196" t="str">
        <f t="shared" si="172"/>
        <v>4 Days</v>
      </c>
    </row>
    <row r="788" spans="3:21" s="185" customFormat="1" ht="20.25" customHeight="1">
      <c r="C788" s="198"/>
      <c r="D788" s="203">
        <f t="shared" si="193"/>
        <v>788</v>
      </c>
      <c r="E788" s="207" t="s">
        <v>188</v>
      </c>
      <c r="F788" s="211">
        <f t="shared" ref="F788" si="202">D787</f>
        <v>787</v>
      </c>
      <c r="G788" s="206" t="s">
        <v>44</v>
      </c>
      <c r="H788" s="206"/>
      <c r="I788" s="208"/>
      <c r="J788" s="208"/>
      <c r="K788" s="234">
        <v>4</v>
      </c>
      <c r="L788" s="208" t="s">
        <v>81</v>
      </c>
      <c r="M788" s="235">
        <f t="shared" si="200"/>
        <v>4</v>
      </c>
      <c r="N788" s="208" t="s">
        <v>81</v>
      </c>
      <c r="O788" s="218">
        <v>1</v>
      </c>
      <c r="P788" s="208" t="s">
        <v>162</v>
      </c>
      <c r="Q788" s="240">
        <f t="shared" si="201"/>
        <v>4</v>
      </c>
      <c r="R788" s="239"/>
      <c r="S788" s="240">
        <f t="shared" si="174"/>
        <v>4</v>
      </c>
      <c r="T788" s="216" t="s">
        <v>42</v>
      </c>
      <c r="U788" s="196" t="str">
        <f t="shared" si="172"/>
        <v>4 Days</v>
      </c>
    </row>
    <row r="789" spans="3:21" s="185" customFormat="1" ht="20.25" customHeight="1">
      <c r="C789" s="198">
        <f>D789</f>
        <v>789</v>
      </c>
      <c r="D789" s="203">
        <f t="shared" si="193"/>
        <v>789</v>
      </c>
      <c r="E789" s="204" t="s">
        <v>189</v>
      </c>
      <c r="F789" s="210">
        <f>D786</f>
        <v>786</v>
      </c>
      <c r="G789" s="206"/>
      <c r="H789" s="206"/>
      <c r="I789" s="208"/>
      <c r="J789" s="208"/>
      <c r="K789" s="234"/>
      <c r="L789" s="208"/>
      <c r="M789" s="217"/>
      <c r="N789" s="208"/>
      <c r="O789" s="218"/>
      <c r="P789" s="208"/>
      <c r="Q789" s="240"/>
      <c r="R789" s="239"/>
      <c r="S789" s="240"/>
      <c r="T789" s="216"/>
      <c r="U789" s="196"/>
    </row>
    <row r="790" spans="3:21" s="185" customFormat="1" ht="20.25" customHeight="1">
      <c r="C790" s="198"/>
      <c r="D790" s="203">
        <f t="shared" si="193"/>
        <v>790</v>
      </c>
      <c r="E790" s="207" t="s">
        <v>190</v>
      </c>
      <c r="F790" s="211"/>
      <c r="G790" s="206" t="s">
        <v>44</v>
      </c>
      <c r="H790" s="206"/>
      <c r="I790" s="224">
        <v>12</v>
      </c>
      <c r="J790" s="208"/>
      <c r="K790" s="234">
        <v>1</v>
      </c>
      <c r="L790" s="208" t="s">
        <v>81</v>
      </c>
      <c r="M790" s="235">
        <f t="shared" ref="M790:M793" si="203">K790</f>
        <v>1</v>
      </c>
      <c r="N790" s="208" t="s">
        <v>81</v>
      </c>
      <c r="O790" s="218">
        <v>4</v>
      </c>
      <c r="P790" s="208" t="s">
        <v>162</v>
      </c>
      <c r="Q790" s="240">
        <f t="shared" ref="Q790:Q793" si="204">M790*O790</f>
        <v>4</v>
      </c>
      <c r="R790" s="239"/>
      <c r="S790" s="240">
        <f t="shared" si="174"/>
        <v>4</v>
      </c>
      <c r="T790" s="216" t="s">
        <v>48</v>
      </c>
      <c r="U790" s="196" t="str">
        <f t="shared" si="172"/>
        <v>4 Hrs</v>
      </c>
    </row>
    <row r="791" spans="3:21" s="185" customFormat="1" ht="20.25" customHeight="1">
      <c r="C791" s="198"/>
      <c r="D791" s="203">
        <f t="shared" si="193"/>
        <v>791</v>
      </c>
      <c r="E791" s="207" t="s">
        <v>191</v>
      </c>
      <c r="F791" s="211">
        <f t="shared" ref="F791:F798" si="205">D790</f>
        <v>790</v>
      </c>
      <c r="G791" s="206" t="s">
        <v>52</v>
      </c>
      <c r="H791" s="206"/>
      <c r="I791" s="208"/>
      <c r="J791" s="208"/>
      <c r="K791" s="234">
        <v>1</v>
      </c>
      <c r="L791" s="208" t="s">
        <v>81</v>
      </c>
      <c r="M791" s="235">
        <f t="shared" si="203"/>
        <v>1</v>
      </c>
      <c r="N791" s="208" t="s">
        <v>81</v>
      </c>
      <c r="O791" s="218">
        <v>4</v>
      </c>
      <c r="P791" s="208" t="s">
        <v>162</v>
      </c>
      <c r="Q791" s="240">
        <f t="shared" si="204"/>
        <v>4</v>
      </c>
      <c r="R791" s="239"/>
      <c r="S791" s="240">
        <f t="shared" si="174"/>
        <v>4</v>
      </c>
      <c r="T791" s="216" t="s">
        <v>48</v>
      </c>
      <c r="U791" s="196" t="str">
        <f t="shared" si="172"/>
        <v>4 Hrs</v>
      </c>
    </row>
    <row r="792" spans="3:21" s="185" customFormat="1" ht="20.25" customHeight="1">
      <c r="C792" s="198"/>
      <c r="D792" s="203">
        <f t="shared" si="193"/>
        <v>792</v>
      </c>
      <c r="E792" s="207" t="s">
        <v>192</v>
      </c>
      <c r="F792" s="211">
        <f t="shared" si="205"/>
        <v>791</v>
      </c>
      <c r="G792" s="206" t="s">
        <v>44</v>
      </c>
      <c r="H792" s="206"/>
      <c r="I792" s="208"/>
      <c r="J792" s="208"/>
      <c r="K792" s="234">
        <v>1</v>
      </c>
      <c r="L792" s="208" t="s">
        <v>81</v>
      </c>
      <c r="M792" s="235">
        <f t="shared" si="203"/>
        <v>1</v>
      </c>
      <c r="N792" s="208" t="s">
        <v>81</v>
      </c>
      <c r="O792" s="218">
        <v>2</v>
      </c>
      <c r="P792" s="208" t="s">
        <v>162</v>
      </c>
      <c r="Q792" s="240">
        <f t="shared" si="204"/>
        <v>2</v>
      </c>
      <c r="R792" s="239"/>
      <c r="S792" s="240">
        <f t="shared" si="174"/>
        <v>2</v>
      </c>
      <c r="T792" s="216" t="s">
        <v>48</v>
      </c>
      <c r="U792" s="196" t="str">
        <f t="shared" si="172"/>
        <v>2 Hrs</v>
      </c>
    </row>
    <row r="793" spans="3:21" s="185" customFormat="1" ht="20.25" customHeight="1">
      <c r="C793" s="198"/>
      <c r="D793" s="203">
        <f t="shared" si="193"/>
        <v>793</v>
      </c>
      <c r="E793" s="207" t="s">
        <v>193</v>
      </c>
      <c r="F793" s="211">
        <f t="shared" si="205"/>
        <v>792</v>
      </c>
      <c r="G793" s="206" t="s">
        <v>44</v>
      </c>
      <c r="H793" s="206"/>
      <c r="I793" s="208"/>
      <c r="J793" s="208"/>
      <c r="K793" s="234">
        <v>1</v>
      </c>
      <c r="L793" s="208" t="s">
        <v>81</v>
      </c>
      <c r="M793" s="235">
        <f t="shared" si="203"/>
        <v>1</v>
      </c>
      <c r="N793" s="208" t="s">
        <v>81</v>
      </c>
      <c r="O793" s="218">
        <v>1</v>
      </c>
      <c r="P793" s="208" t="s">
        <v>162</v>
      </c>
      <c r="Q793" s="240">
        <f t="shared" si="204"/>
        <v>1</v>
      </c>
      <c r="R793" s="239"/>
      <c r="S793" s="240">
        <f t="shared" si="174"/>
        <v>1</v>
      </c>
      <c r="T793" s="216" t="s">
        <v>48</v>
      </c>
      <c r="U793" s="196" t="str">
        <f t="shared" si="172"/>
        <v>1 Hrs</v>
      </c>
    </row>
    <row r="794" spans="3:21" s="185" customFormat="1" ht="20.25" customHeight="1">
      <c r="C794" s="198">
        <f t="shared" ref="C794:C795" si="206">D794</f>
        <v>794</v>
      </c>
      <c r="D794" s="203">
        <f t="shared" si="193"/>
        <v>794</v>
      </c>
      <c r="E794" s="247" t="s">
        <v>194</v>
      </c>
      <c r="F794" s="210"/>
      <c r="G794" s="206"/>
      <c r="H794" s="206"/>
      <c r="I794" s="208"/>
      <c r="J794" s="208"/>
      <c r="K794" s="234"/>
      <c r="L794" s="208"/>
      <c r="M794" s="217"/>
      <c r="N794" s="208"/>
      <c r="O794" s="218"/>
      <c r="P794" s="208"/>
      <c r="Q794" s="240"/>
      <c r="R794" s="239"/>
      <c r="S794" s="240"/>
      <c r="T794" s="216"/>
      <c r="U794" s="196"/>
    </row>
    <row r="795" spans="3:21" s="185" customFormat="1" ht="20.25" customHeight="1">
      <c r="C795" s="198">
        <f t="shared" si="206"/>
        <v>795</v>
      </c>
      <c r="D795" s="203">
        <f t="shared" si="193"/>
        <v>795</v>
      </c>
      <c r="E795" s="204" t="s">
        <v>195</v>
      </c>
      <c r="F795" s="210">
        <f t="shared" si="205"/>
        <v>794</v>
      </c>
      <c r="G795" s="206"/>
      <c r="H795" s="206"/>
      <c r="I795" s="208"/>
      <c r="J795" s="208"/>
      <c r="K795" s="234"/>
      <c r="L795" s="208"/>
      <c r="M795" s="217"/>
      <c r="N795" s="208"/>
      <c r="O795" s="218"/>
      <c r="P795" s="208"/>
      <c r="Q795" s="240"/>
      <c r="R795" s="239"/>
      <c r="S795" s="240"/>
      <c r="T795" s="216"/>
      <c r="U795" s="196"/>
    </row>
    <row r="796" spans="3:21" s="185" customFormat="1" ht="20.25" customHeight="1">
      <c r="C796" s="198"/>
      <c r="D796" s="203">
        <f t="shared" si="193"/>
        <v>796</v>
      </c>
      <c r="E796" s="207" t="s">
        <v>196</v>
      </c>
      <c r="F796" s="211">
        <f t="shared" si="205"/>
        <v>795</v>
      </c>
      <c r="G796" s="206"/>
      <c r="H796" s="206"/>
      <c r="I796" s="208"/>
      <c r="J796" s="208"/>
      <c r="K796" s="234">
        <v>1</v>
      </c>
      <c r="L796" s="208" t="s">
        <v>81</v>
      </c>
      <c r="M796" s="235">
        <f t="shared" ref="M796" si="207">K796</f>
        <v>1</v>
      </c>
      <c r="N796" s="208" t="s">
        <v>84</v>
      </c>
      <c r="O796" s="218">
        <v>4</v>
      </c>
      <c r="P796" s="208" t="s">
        <v>41</v>
      </c>
      <c r="Q796" s="240">
        <f t="shared" ref="Q796:Q798" si="208">M796*O796</f>
        <v>4</v>
      </c>
      <c r="R796" s="239"/>
      <c r="S796" s="240">
        <f t="shared" si="174"/>
        <v>4</v>
      </c>
      <c r="T796" s="216" t="s">
        <v>48</v>
      </c>
      <c r="U796" s="196" t="str">
        <f t="shared" ref="U796:U859" si="209">CONCATENATE(S796," ",T796)</f>
        <v>4 Hrs</v>
      </c>
    </row>
    <row r="797" spans="3:21" s="185" customFormat="1" ht="20.25" customHeight="1">
      <c r="C797" s="198"/>
      <c r="D797" s="203">
        <f t="shared" si="193"/>
        <v>797</v>
      </c>
      <c r="E797" s="207" t="s">
        <v>197</v>
      </c>
      <c r="F797" s="211">
        <f t="shared" si="205"/>
        <v>796</v>
      </c>
      <c r="G797" s="206" t="s">
        <v>44</v>
      </c>
      <c r="H797" s="206"/>
      <c r="I797" s="224">
        <v>14</v>
      </c>
      <c r="J797" s="208"/>
      <c r="K797" s="234">
        <v>19</v>
      </c>
      <c r="L797" s="208" t="s">
        <v>81</v>
      </c>
      <c r="M797" s="217">
        <v>1</v>
      </c>
      <c r="N797" s="208" t="s">
        <v>84</v>
      </c>
      <c r="O797" s="218">
        <v>1</v>
      </c>
      <c r="P797" s="208" t="s">
        <v>41</v>
      </c>
      <c r="Q797" s="240">
        <f t="shared" si="208"/>
        <v>1</v>
      </c>
      <c r="R797" s="239"/>
      <c r="S797" s="240">
        <f t="shared" si="174"/>
        <v>1</v>
      </c>
      <c r="T797" s="216" t="s">
        <v>48</v>
      </c>
      <c r="U797" s="196" t="str">
        <f t="shared" si="209"/>
        <v>1 Hrs</v>
      </c>
    </row>
    <row r="798" spans="3:21" s="185" customFormat="1" ht="20.25" customHeight="1">
      <c r="C798" s="198"/>
      <c r="D798" s="203">
        <f t="shared" si="193"/>
        <v>798</v>
      </c>
      <c r="E798" s="207" t="s">
        <v>198</v>
      </c>
      <c r="F798" s="211">
        <f t="shared" si="205"/>
        <v>797</v>
      </c>
      <c r="G798" s="206" t="s">
        <v>52</v>
      </c>
      <c r="H798" s="206"/>
      <c r="I798" s="208"/>
      <c r="J798" s="208"/>
      <c r="K798" s="234">
        <v>19</v>
      </c>
      <c r="L798" s="208" t="s">
        <v>81</v>
      </c>
      <c r="M798" s="217">
        <v>1</v>
      </c>
      <c r="N798" s="208" t="s">
        <v>84</v>
      </c>
      <c r="O798" s="218">
        <v>5</v>
      </c>
      <c r="P798" s="208" t="s">
        <v>41</v>
      </c>
      <c r="Q798" s="240">
        <f t="shared" si="208"/>
        <v>5</v>
      </c>
      <c r="R798" s="239"/>
      <c r="S798" s="240">
        <f t="shared" ref="S798:S859" si="210">ROUND(Q798+R798,2)</f>
        <v>5</v>
      </c>
      <c r="T798" s="216" t="s">
        <v>48</v>
      </c>
      <c r="U798" s="196" t="str">
        <f t="shared" si="209"/>
        <v>5 Hrs</v>
      </c>
    </row>
    <row r="799" spans="3:21" s="185" customFormat="1" ht="20.25" customHeight="1">
      <c r="C799" s="198">
        <f>D799</f>
        <v>799</v>
      </c>
      <c r="D799" s="203">
        <f t="shared" si="193"/>
        <v>799</v>
      </c>
      <c r="E799" s="204" t="s">
        <v>199</v>
      </c>
      <c r="F799" s="210">
        <f>D795</f>
        <v>795</v>
      </c>
      <c r="G799" s="206"/>
      <c r="H799" s="206"/>
      <c r="I799" s="208"/>
      <c r="J799" s="208"/>
      <c r="K799" s="234"/>
      <c r="L799" s="208"/>
      <c r="M799" s="217"/>
      <c r="N799" s="208"/>
      <c r="O799" s="218"/>
      <c r="P799" s="208"/>
      <c r="Q799" s="240"/>
      <c r="R799" s="239"/>
      <c r="S799" s="240"/>
      <c r="T799" s="216"/>
      <c r="U799" s="196"/>
    </row>
    <row r="800" spans="3:21" s="185" customFormat="1" ht="20.25" customHeight="1">
      <c r="C800" s="198"/>
      <c r="D800" s="203">
        <f t="shared" si="193"/>
        <v>800</v>
      </c>
      <c r="E800" s="207" t="s">
        <v>200</v>
      </c>
      <c r="F800" s="211"/>
      <c r="G800" s="206" t="s">
        <v>201</v>
      </c>
      <c r="H800" s="206"/>
      <c r="I800" s="208"/>
      <c r="J800" s="208"/>
      <c r="K800" s="234">
        <v>19</v>
      </c>
      <c r="L800" s="208" t="s">
        <v>81</v>
      </c>
      <c r="M800" s="235">
        <f t="shared" ref="M800" si="211">K800</f>
        <v>19</v>
      </c>
      <c r="N800" s="208" t="s">
        <v>81</v>
      </c>
      <c r="O800" s="218">
        <v>1</v>
      </c>
      <c r="P800" s="208" t="s">
        <v>162</v>
      </c>
      <c r="Q800" s="240">
        <f t="shared" ref="Q800:Q801" si="212">M800*O800</f>
        <v>19</v>
      </c>
      <c r="R800" s="239"/>
      <c r="S800" s="240">
        <f t="shared" si="210"/>
        <v>19</v>
      </c>
      <c r="T800" s="216" t="s">
        <v>48</v>
      </c>
      <c r="U800" s="196" t="str">
        <f t="shared" si="209"/>
        <v>19 Hrs</v>
      </c>
    </row>
    <row r="801" spans="3:21" s="185" customFormat="1" ht="20.25" customHeight="1">
      <c r="C801" s="198"/>
      <c r="D801" s="203">
        <f t="shared" si="193"/>
        <v>801</v>
      </c>
      <c r="E801" s="207" t="s">
        <v>202</v>
      </c>
      <c r="F801" s="211">
        <f t="shared" ref="F801" si="213">D800</f>
        <v>800</v>
      </c>
      <c r="G801" s="206" t="s">
        <v>44</v>
      </c>
      <c r="H801" s="206"/>
      <c r="I801" s="208"/>
      <c r="J801" s="208" t="s">
        <v>203</v>
      </c>
      <c r="K801" s="234">
        <v>3</v>
      </c>
      <c r="L801" s="208" t="s">
        <v>81</v>
      </c>
      <c r="M801" s="235">
        <v>3</v>
      </c>
      <c r="N801" s="208" t="s">
        <v>81</v>
      </c>
      <c r="O801" s="218">
        <v>2</v>
      </c>
      <c r="P801" s="208" t="s">
        <v>162</v>
      </c>
      <c r="Q801" s="240">
        <f t="shared" si="212"/>
        <v>6</v>
      </c>
      <c r="R801" s="239"/>
      <c r="S801" s="240">
        <f t="shared" si="210"/>
        <v>6</v>
      </c>
      <c r="T801" s="216" t="s">
        <v>48</v>
      </c>
      <c r="U801" s="196" t="str">
        <f t="shared" si="209"/>
        <v>6 Hrs</v>
      </c>
    </row>
    <row r="802" spans="3:21" s="185" customFormat="1" ht="20.25" customHeight="1">
      <c r="C802" s="198">
        <f>D802</f>
        <v>802</v>
      </c>
      <c r="D802" s="203">
        <f t="shared" si="193"/>
        <v>802</v>
      </c>
      <c r="E802" s="204" t="s">
        <v>204</v>
      </c>
      <c r="F802" s="210">
        <f>D799</f>
        <v>799</v>
      </c>
      <c r="G802" s="206"/>
      <c r="H802" s="206"/>
      <c r="I802" s="208"/>
      <c r="J802" s="208"/>
      <c r="K802" s="234"/>
      <c r="L802" s="208"/>
      <c r="M802" s="217"/>
      <c r="N802" s="208"/>
      <c r="O802" s="218"/>
      <c r="P802" s="208"/>
      <c r="Q802" s="240"/>
      <c r="R802" s="239"/>
      <c r="S802" s="240"/>
      <c r="T802" s="216"/>
      <c r="U802" s="196"/>
    </row>
    <row r="803" spans="3:21" s="185" customFormat="1" ht="20.25" customHeight="1">
      <c r="C803" s="198"/>
      <c r="D803" s="203">
        <f t="shared" si="193"/>
        <v>803</v>
      </c>
      <c r="E803" s="207" t="s">
        <v>204</v>
      </c>
      <c r="F803" s="211"/>
      <c r="G803" s="206" t="s">
        <v>55</v>
      </c>
      <c r="H803" s="206"/>
      <c r="I803" s="224" t="s">
        <v>205</v>
      </c>
      <c r="J803" s="208"/>
      <c r="K803" s="234">
        <v>3</v>
      </c>
      <c r="L803" s="208" t="s">
        <v>206</v>
      </c>
      <c r="M803" s="217">
        <v>1</v>
      </c>
      <c r="N803" s="208" t="s">
        <v>84</v>
      </c>
      <c r="O803" s="218">
        <v>10</v>
      </c>
      <c r="P803" s="208" t="s">
        <v>41</v>
      </c>
      <c r="Q803" s="240">
        <f t="shared" ref="Q803" si="214">M803*O803</f>
        <v>10</v>
      </c>
      <c r="R803" s="239"/>
      <c r="S803" s="240">
        <f t="shared" si="210"/>
        <v>10</v>
      </c>
      <c r="T803" s="216" t="s">
        <v>42</v>
      </c>
      <c r="U803" s="196" t="str">
        <f t="shared" si="209"/>
        <v>10 Days</v>
      </c>
    </row>
    <row r="804" spans="3:21" s="185" customFormat="1" ht="20.25" customHeight="1">
      <c r="C804" s="198">
        <f>D804</f>
        <v>804</v>
      </c>
      <c r="D804" s="203">
        <f t="shared" si="193"/>
        <v>804</v>
      </c>
      <c r="E804" s="204" t="s">
        <v>207</v>
      </c>
      <c r="F804" s="210">
        <f>D802</f>
        <v>802</v>
      </c>
      <c r="G804" s="206"/>
      <c r="H804" s="206"/>
      <c r="I804" s="208"/>
      <c r="J804" s="208"/>
      <c r="K804" s="234"/>
      <c r="L804" s="208"/>
      <c r="M804" s="217"/>
      <c r="N804" s="208"/>
      <c r="O804" s="218"/>
      <c r="P804" s="208"/>
      <c r="Q804" s="240"/>
      <c r="R804" s="239"/>
      <c r="S804" s="240"/>
      <c r="T804" s="216"/>
      <c r="U804" s="196"/>
    </row>
    <row r="805" spans="3:21" s="185" customFormat="1" ht="20.25" customHeight="1">
      <c r="C805" s="198"/>
      <c r="D805" s="203">
        <f t="shared" si="193"/>
        <v>805</v>
      </c>
      <c r="E805" s="207" t="s">
        <v>208</v>
      </c>
      <c r="F805" s="211"/>
      <c r="G805" s="206" t="s">
        <v>44</v>
      </c>
      <c r="H805" s="206"/>
      <c r="I805" s="208"/>
      <c r="J805" s="208"/>
      <c r="K805" s="234">
        <v>3</v>
      </c>
      <c r="L805" s="208" t="s">
        <v>206</v>
      </c>
      <c r="M805" s="217">
        <v>4</v>
      </c>
      <c r="N805" s="208" t="s">
        <v>206</v>
      </c>
      <c r="O805" s="218">
        <v>6</v>
      </c>
      <c r="P805" s="208" t="s">
        <v>48</v>
      </c>
      <c r="Q805" s="240">
        <f t="shared" ref="Q805:Q806" si="215">M805*O805</f>
        <v>24</v>
      </c>
      <c r="R805" s="239"/>
      <c r="S805" s="240">
        <f t="shared" si="210"/>
        <v>24</v>
      </c>
      <c r="T805" s="243" t="s">
        <v>48</v>
      </c>
      <c r="U805" s="196" t="str">
        <f t="shared" si="209"/>
        <v>24 Hrs</v>
      </c>
    </row>
    <row r="806" spans="3:21" s="185" customFormat="1" ht="20.25" customHeight="1">
      <c r="C806" s="198"/>
      <c r="D806" s="203">
        <f t="shared" si="193"/>
        <v>806</v>
      </c>
      <c r="E806" s="207" t="s">
        <v>209</v>
      </c>
      <c r="F806" s="211">
        <f t="shared" ref="F806" si="216">D805</f>
        <v>805</v>
      </c>
      <c r="G806" s="206" t="s">
        <v>63</v>
      </c>
      <c r="H806" s="206"/>
      <c r="I806" s="208"/>
      <c r="J806" s="208"/>
      <c r="K806" s="234">
        <v>9</v>
      </c>
      <c r="L806" s="208" t="s">
        <v>81</v>
      </c>
      <c r="M806" s="235">
        <f>1308*9*2</f>
        <v>23544</v>
      </c>
      <c r="N806" s="208" t="s">
        <v>210</v>
      </c>
      <c r="O806" s="246">
        <f>1/100</f>
        <v>0.01</v>
      </c>
      <c r="P806" s="208"/>
      <c r="Q806" s="240">
        <f t="shared" si="215"/>
        <v>235.44</v>
      </c>
      <c r="R806" s="239"/>
      <c r="S806" s="240">
        <f t="shared" si="210"/>
        <v>235.44</v>
      </c>
      <c r="T806" s="216" t="s">
        <v>42</v>
      </c>
      <c r="U806" s="196" t="str">
        <f t="shared" si="209"/>
        <v>235.44 Days</v>
      </c>
    </row>
    <row r="807" spans="3:21" s="185" customFormat="1" ht="20.25" customHeight="1">
      <c r="C807" s="198">
        <f>D807</f>
        <v>807</v>
      </c>
      <c r="D807" s="203">
        <f t="shared" si="193"/>
        <v>807</v>
      </c>
      <c r="E807" s="204" t="s">
        <v>211</v>
      </c>
      <c r="F807" s="210">
        <f>D804</f>
        <v>804</v>
      </c>
      <c r="G807" s="206"/>
      <c r="H807" s="206"/>
      <c r="I807" s="208"/>
      <c r="J807" s="208"/>
      <c r="K807" s="234"/>
      <c r="L807" s="208"/>
      <c r="M807" s="217"/>
      <c r="N807" s="208"/>
      <c r="O807" s="218"/>
      <c r="P807" s="208"/>
      <c r="Q807" s="240"/>
      <c r="R807" s="239"/>
      <c r="S807" s="240"/>
      <c r="T807" s="216"/>
      <c r="U807" s="196"/>
    </row>
    <row r="808" spans="3:21" s="185" customFormat="1" ht="20.25" customHeight="1">
      <c r="C808" s="198"/>
      <c r="D808" s="203">
        <f t="shared" si="193"/>
        <v>808</v>
      </c>
      <c r="E808" s="207" t="s">
        <v>212</v>
      </c>
      <c r="F808" s="211"/>
      <c r="G808" s="206" t="s">
        <v>44</v>
      </c>
      <c r="H808" s="206"/>
      <c r="I808" s="208"/>
      <c r="J808" s="208"/>
      <c r="K808" s="234">
        <v>3</v>
      </c>
      <c r="L808" s="208" t="s">
        <v>81</v>
      </c>
      <c r="M808" s="235">
        <f t="shared" ref="M808" si="217">K808</f>
        <v>3</v>
      </c>
      <c r="N808" s="208" t="s">
        <v>81</v>
      </c>
      <c r="O808" s="218">
        <v>0.25</v>
      </c>
      <c r="P808" s="208" t="s">
        <v>162</v>
      </c>
      <c r="Q808" s="240">
        <f t="shared" ref="Q808:Q812" si="218">M808*O808</f>
        <v>0.75</v>
      </c>
      <c r="R808" s="239"/>
      <c r="S808" s="240">
        <f t="shared" si="210"/>
        <v>0.75</v>
      </c>
      <c r="T808" s="216" t="s">
        <v>48</v>
      </c>
      <c r="U808" s="196" t="str">
        <f t="shared" si="209"/>
        <v>0.75 Hrs</v>
      </c>
    </row>
    <row r="809" spans="3:21" s="185" customFormat="1" ht="20.25" customHeight="1">
      <c r="C809" s="198"/>
      <c r="D809" s="203">
        <f t="shared" si="193"/>
        <v>809</v>
      </c>
      <c r="E809" s="207" t="s">
        <v>213</v>
      </c>
      <c r="F809" s="211">
        <f t="shared" ref="F809:F812" si="219">D808</f>
        <v>808</v>
      </c>
      <c r="G809" s="206" t="s">
        <v>44</v>
      </c>
      <c r="H809" s="206"/>
      <c r="I809" s="208"/>
      <c r="J809" s="208"/>
      <c r="K809" s="234">
        <v>3</v>
      </c>
      <c r="L809" s="208" t="s">
        <v>81</v>
      </c>
      <c r="M809" s="217">
        <v>1</v>
      </c>
      <c r="N809" s="208" t="s">
        <v>160</v>
      </c>
      <c r="O809" s="218">
        <v>1</v>
      </c>
      <c r="P809" s="208" t="s">
        <v>48</v>
      </c>
      <c r="Q809" s="240">
        <f t="shared" si="218"/>
        <v>1</v>
      </c>
      <c r="R809" s="239"/>
      <c r="S809" s="240">
        <f t="shared" si="210"/>
        <v>1</v>
      </c>
      <c r="T809" s="216" t="s">
        <v>48</v>
      </c>
      <c r="U809" s="196" t="str">
        <f t="shared" si="209"/>
        <v>1 Hrs</v>
      </c>
    </row>
    <row r="810" spans="3:21" s="185" customFormat="1" ht="20.25" customHeight="1">
      <c r="C810" s="198"/>
      <c r="D810" s="203">
        <f t="shared" si="193"/>
        <v>810</v>
      </c>
      <c r="E810" s="207" t="s">
        <v>214</v>
      </c>
      <c r="F810" s="211">
        <f t="shared" si="219"/>
        <v>809</v>
      </c>
      <c r="G810" s="206" t="s">
        <v>55</v>
      </c>
      <c r="H810" s="206"/>
      <c r="I810" s="208"/>
      <c r="J810" s="208"/>
      <c r="K810" s="234">
        <v>3</v>
      </c>
      <c r="L810" s="208" t="s">
        <v>81</v>
      </c>
      <c r="M810" s="217">
        <v>1</v>
      </c>
      <c r="N810" s="208" t="s">
        <v>160</v>
      </c>
      <c r="O810" s="218">
        <v>5</v>
      </c>
      <c r="P810" s="208" t="s">
        <v>41</v>
      </c>
      <c r="Q810" s="240">
        <f t="shared" si="218"/>
        <v>5</v>
      </c>
      <c r="R810" s="239"/>
      <c r="S810" s="240">
        <f t="shared" si="210"/>
        <v>5</v>
      </c>
      <c r="T810" s="216" t="s">
        <v>42</v>
      </c>
      <c r="U810" s="196" t="str">
        <f t="shared" si="209"/>
        <v>5 Days</v>
      </c>
    </row>
    <row r="811" spans="3:21" s="185" customFormat="1" ht="20.25" customHeight="1">
      <c r="C811" s="198"/>
      <c r="D811" s="203">
        <f t="shared" si="193"/>
        <v>811</v>
      </c>
      <c r="E811" s="207" t="s">
        <v>215</v>
      </c>
      <c r="F811" s="211">
        <f t="shared" si="219"/>
        <v>810</v>
      </c>
      <c r="G811" s="206" t="s">
        <v>55</v>
      </c>
      <c r="H811" s="206"/>
      <c r="I811" s="208"/>
      <c r="J811" s="208"/>
      <c r="K811" s="234">
        <v>3</v>
      </c>
      <c r="L811" s="208" t="s">
        <v>81</v>
      </c>
      <c r="M811" s="217">
        <v>1</v>
      </c>
      <c r="N811" s="208" t="s">
        <v>160</v>
      </c>
      <c r="O811" s="218">
        <v>5</v>
      </c>
      <c r="P811" s="208" t="s">
        <v>41</v>
      </c>
      <c r="Q811" s="240">
        <f t="shared" si="218"/>
        <v>5</v>
      </c>
      <c r="R811" s="239"/>
      <c r="S811" s="240">
        <f t="shared" si="210"/>
        <v>5</v>
      </c>
      <c r="T811" s="216" t="s">
        <v>42</v>
      </c>
      <c r="U811" s="196" t="str">
        <f t="shared" si="209"/>
        <v>5 Days</v>
      </c>
    </row>
    <row r="812" spans="3:21" s="185" customFormat="1" ht="20.25" customHeight="1">
      <c r="C812" s="198"/>
      <c r="D812" s="203">
        <f t="shared" si="193"/>
        <v>812</v>
      </c>
      <c r="E812" s="207" t="s">
        <v>216</v>
      </c>
      <c r="F812" s="211">
        <f t="shared" si="219"/>
        <v>811</v>
      </c>
      <c r="G812" s="206" t="s">
        <v>217</v>
      </c>
      <c r="H812" s="206"/>
      <c r="I812" s="208"/>
      <c r="J812" s="208"/>
      <c r="K812" s="234">
        <v>3</v>
      </c>
      <c r="L812" s="208" t="s">
        <v>81</v>
      </c>
      <c r="M812" s="217">
        <v>1</v>
      </c>
      <c r="N812" s="208" t="s">
        <v>160</v>
      </c>
      <c r="O812" s="218">
        <v>1</v>
      </c>
      <c r="P812" s="208" t="s">
        <v>41</v>
      </c>
      <c r="Q812" s="240">
        <f t="shared" si="218"/>
        <v>1</v>
      </c>
      <c r="R812" s="239"/>
      <c r="S812" s="240">
        <f t="shared" si="210"/>
        <v>1</v>
      </c>
      <c r="T812" s="216" t="s">
        <v>42</v>
      </c>
      <c r="U812" s="196" t="str">
        <f t="shared" si="209"/>
        <v>1 Days</v>
      </c>
    </row>
    <row r="813" spans="3:21" s="185" customFormat="1" ht="20.25" customHeight="1">
      <c r="C813" s="198">
        <f>D813</f>
        <v>813</v>
      </c>
      <c r="D813" s="203">
        <f t="shared" si="193"/>
        <v>813</v>
      </c>
      <c r="E813" s="204" t="s">
        <v>218</v>
      </c>
      <c r="F813" s="210">
        <f>D807</f>
        <v>807</v>
      </c>
      <c r="G813" s="206"/>
      <c r="H813" s="206"/>
      <c r="I813" s="208"/>
      <c r="J813" s="208"/>
      <c r="K813" s="234"/>
      <c r="L813" s="208"/>
      <c r="M813" s="217"/>
      <c r="N813" s="208"/>
      <c r="O813" s="218"/>
      <c r="P813" s="208"/>
      <c r="Q813" s="240"/>
      <c r="R813" s="239"/>
      <c r="S813" s="240"/>
      <c r="T813" s="216"/>
      <c r="U813" s="196"/>
    </row>
    <row r="814" spans="3:21" s="185" customFormat="1" ht="20.25" customHeight="1">
      <c r="C814" s="198"/>
      <c r="D814" s="203">
        <f t="shared" si="193"/>
        <v>814</v>
      </c>
      <c r="E814" s="207" t="s">
        <v>219</v>
      </c>
      <c r="F814" s="211"/>
      <c r="G814" s="206"/>
      <c r="H814" s="206"/>
      <c r="I814" s="208"/>
      <c r="J814" s="208"/>
      <c r="K814" s="234">
        <v>2</v>
      </c>
      <c r="L814" s="208" t="s">
        <v>81</v>
      </c>
      <c r="M814" s="235">
        <v>1</v>
      </c>
      <c r="N814" s="208" t="s">
        <v>84</v>
      </c>
      <c r="O814" s="218">
        <v>4</v>
      </c>
      <c r="P814" s="208" t="s">
        <v>41</v>
      </c>
      <c r="Q814" s="240">
        <f t="shared" ref="Q814:Q816" si="220">M814*O814</f>
        <v>4</v>
      </c>
      <c r="R814" s="239"/>
      <c r="S814" s="240">
        <f t="shared" si="210"/>
        <v>4</v>
      </c>
      <c r="T814" s="216" t="s">
        <v>42</v>
      </c>
      <c r="U814" s="196" t="str">
        <f t="shared" si="209"/>
        <v>4 Days</v>
      </c>
    </row>
    <row r="815" spans="3:21" s="185" customFormat="1" ht="20.25" customHeight="1">
      <c r="C815" s="198"/>
      <c r="D815" s="203">
        <f t="shared" si="193"/>
        <v>815</v>
      </c>
      <c r="E815" s="207" t="s">
        <v>220</v>
      </c>
      <c r="F815" s="211">
        <f t="shared" ref="F815:F816" si="221">D814</f>
        <v>814</v>
      </c>
      <c r="G815" s="206" t="s">
        <v>55</v>
      </c>
      <c r="H815" s="206"/>
      <c r="I815" s="224">
        <v>20</v>
      </c>
      <c r="J815" s="208"/>
      <c r="K815" s="234">
        <v>2</v>
      </c>
      <c r="L815" s="208" t="s">
        <v>81</v>
      </c>
      <c r="M815" s="217">
        <v>1</v>
      </c>
      <c r="N815" s="208" t="s">
        <v>84</v>
      </c>
      <c r="O815" s="218">
        <v>1</v>
      </c>
      <c r="P815" s="208" t="s">
        <v>41</v>
      </c>
      <c r="Q815" s="240">
        <f t="shared" si="220"/>
        <v>1</v>
      </c>
      <c r="R815" s="239"/>
      <c r="S815" s="240">
        <f t="shared" si="210"/>
        <v>1</v>
      </c>
      <c r="T815" s="216" t="s">
        <v>42</v>
      </c>
      <c r="U815" s="196" t="str">
        <f t="shared" si="209"/>
        <v>1 Days</v>
      </c>
    </row>
    <row r="816" spans="3:21" s="185" customFormat="1" ht="20.25" customHeight="1">
      <c r="C816" s="198"/>
      <c r="D816" s="203">
        <f t="shared" si="193"/>
        <v>816</v>
      </c>
      <c r="E816" s="207" t="s">
        <v>221</v>
      </c>
      <c r="F816" s="211">
        <f t="shared" si="221"/>
        <v>815</v>
      </c>
      <c r="G816" s="206" t="s">
        <v>55</v>
      </c>
      <c r="H816" s="206"/>
      <c r="I816" s="208"/>
      <c r="J816" s="208"/>
      <c r="K816" s="234">
        <v>2</v>
      </c>
      <c r="L816" s="208" t="s">
        <v>81</v>
      </c>
      <c r="M816" s="217">
        <v>1</v>
      </c>
      <c r="N816" s="208" t="s">
        <v>84</v>
      </c>
      <c r="O816" s="218">
        <v>5</v>
      </c>
      <c r="P816" s="208" t="s">
        <v>41</v>
      </c>
      <c r="Q816" s="240">
        <f t="shared" si="220"/>
        <v>5</v>
      </c>
      <c r="R816" s="239"/>
      <c r="S816" s="240">
        <f t="shared" si="210"/>
        <v>5</v>
      </c>
      <c r="T816" s="216" t="s">
        <v>42</v>
      </c>
      <c r="U816" s="196" t="str">
        <f t="shared" si="209"/>
        <v>5 Days</v>
      </c>
    </row>
    <row r="817" spans="3:21" s="185" customFormat="1" ht="20.25" customHeight="1">
      <c r="C817" s="198">
        <f>D817</f>
        <v>817</v>
      </c>
      <c r="D817" s="203">
        <f t="shared" si="193"/>
        <v>817</v>
      </c>
      <c r="E817" s="204" t="s">
        <v>222</v>
      </c>
      <c r="F817" s="210">
        <f>D813</f>
        <v>813</v>
      </c>
      <c r="G817" s="206"/>
      <c r="H817" s="206"/>
      <c r="I817" s="208"/>
      <c r="J817" s="208"/>
      <c r="K817" s="234"/>
      <c r="L817" s="208"/>
      <c r="M817" s="217"/>
      <c r="N817" s="208"/>
      <c r="O817" s="218"/>
      <c r="P817" s="208"/>
      <c r="Q817" s="240"/>
      <c r="R817" s="239"/>
      <c r="S817" s="240"/>
      <c r="T817" s="216"/>
      <c r="U817" s="196"/>
    </row>
    <row r="818" spans="3:21" s="185" customFormat="1" ht="20.25" customHeight="1">
      <c r="C818" s="198"/>
      <c r="D818" s="203">
        <f t="shared" si="193"/>
        <v>818</v>
      </c>
      <c r="E818" s="207" t="s">
        <v>223</v>
      </c>
      <c r="F818" s="211"/>
      <c r="G818" s="206" t="s">
        <v>224</v>
      </c>
      <c r="H818" s="206"/>
      <c r="I818" s="208"/>
      <c r="J818" s="208"/>
      <c r="K818" s="234">
        <v>2</v>
      </c>
      <c r="L818" s="208" t="s">
        <v>81</v>
      </c>
      <c r="M818" s="235">
        <f t="shared" ref="M818:M819" si="222">K818</f>
        <v>2</v>
      </c>
      <c r="N818" s="208" t="s">
        <v>81</v>
      </c>
      <c r="O818" s="218">
        <v>2</v>
      </c>
      <c r="P818" s="208" t="s">
        <v>162</v>
      </c>
      <c r="Q818" s="240">
        <f t="shared" ref="Q818:Q819" si="223">M818*O818</f>
        <v>4</v>
      </c>
      <c r="R818" s="239"/>
      <c r="S818" s="240">
        <f t="shared" si="210"/>
        <v>4</v>
      </c>
      <c r="T818" s="243" t="s">
        <v>48</v>
      </c>
      <c r="U818" s="196" t="str">
        <f t="shared" si="209"/>
        <v>4 Hrs</v>
      </c>
    </row>
    <row r="819" spans="3:21" s="185" customFormat="1" ht="20.25" customHeight="1">
      <c r="C819" s="198"/>
      <c r="D819" s="203">
        <f t="shared" si="193"/>
        <v>819</v>
      </c>
      <c r="E819" s="207" t="s">
        <v>225</v>
      </c>
      <c r="F819" s="211">
        <f t="shared" ref="F819" si="224">D818</f>
        <v>818</v>
      </c>
      <c r="G819" s="206" t="s">
        <v>44</v>
      </c>
      <c r="H819" s="206"/>
      <c r="I819" s="208"/>
      <c r="J819" s="208"/>
      <c r="K819" s="234">
        <v>2</v>
      </c>
      <c r="L819" s="208" t="s">
        <v>81</v>
      </c>
      <c r="M819" s="235">
        <f t="shared" si="222"/>
        <v>2</v>
      </c>
      <c r="N819" s="208" t="s">
        <v>81</v>
      </c>
      <c r="O819" s="218">
        <v>0.5</v>
      </c>
      <c r="P819" s="208" t="s">
        <v>162</v>
      </c>
      <c r="Q819" s="240">
        <f t="shared" si="223"/>
        <v>1</v>
      </c>
      <c r="R819" s="239"/>
      <c r="S819" s="240">
        <f t="shared" si="210"/>
        <v>1</v>
      </c>
      <c r="T819" s="243" t="s">
        <v>48</v>
      </c>
      <c r="U819" s="196" t="str">
        <f t="shared" si="209"/>
        <v>1 Hrs</v>
      </c>
    </row>
    <row r="820" spans="3:21" s="185" customFormat="1" ht="20.25" customHeight="1">
      <c r="C820" s="198">
        <f>D820</f>
        <v>820</v>
      </c>
      <c r="D820" s="203">
        <f t="shared" si="193"/>
        <v>820</v>
      </c>
      <c r="E820" s="204" t="s">
        <v>226</v>
      </c>
      <c r="F820" s="210">
        <f>D817</f>
        <v>817</v>
      </c>
      <c r="G820" s="206"/>
      <c r="H820" s="206"/>
      <c r="I820" s="208"/>
      <c r="J820" s="208"/>
      <c r="K820" s="234"/>
      <c r="L820" s="208"/>
      <c r="M820" s="217"/>
      <c r="N820" s="208"/>
      <c r="O820" s="218"/>
      <c r="P820" s="208"/>
      <c r="Q820" s="240"/>
      <c r="R820" s="239"/>
      <c r="S820" s="240"/>
      <c r="T820" s="216"/>
      <c r="U820" s="196"/>
    </row>
    <row r="821" spans="3:21" s="185" customFormat="1" ht="20.25" customHeight="1">
      <c r="C821" s="198"/>
      <c r="D821" s="203">
        <f t="shared" si="193"/>
        <v>821</v>
      </c>
      <c r="E821" s="207" t="s">
        <v>227</v>
      </c>
      <c r="F821" s="211">
        <f t="shared" ref="F821" si="225">D820</f>
        <v>820</v>
      </c>
      <c r="G821" s="206" t="s">
        <v>55</v>
      </c>
      <c r="H821" s="206"/>
      <c r="I821" s="224" t="s">
        <v>228</v>
      </c>
      <c r="J821" s="208"/>
      <c r="K821" s="234">
        <v>1</v>
      </c>
      <c r="L821" s="208" t="s">
        <v>206</v>
      </c>
      <c r="M821" s="217">
        <v>1</v>
      </c>
      <c r="N821" s="208" t="s">
        <v>84</v>
      </c>
      <c r="O821" s="218">
        <v>10</v>
      </c>
      <c r="P821" s="208" t="s">
        <v>41</v>
      </c>
      <c r="Q821" s="240">
        <f t="shared" ref="Q821" si="226">M821*O821</f>
        <v>10</v>
      </c>
      <c r="R821" s="239"/>
      <c r="S821" s="240">
        <f t="shared" si="210"/>
        <v>10</v>
      </c>
      <c r="T821" s="216"/>
      <c r="U821" s="196" t="str">
        <f t="shared" si="209"/>
        <v xml:space="preserve">10 </v>
      </c>
    </row>
    <row r="822" spans="3:21" s="185" customFormat="1" ht="20.25" customHeight="1">
      <c r="C822" s="198">
        <f>D822</f>
        <v>822</v>
      </c>
      <c r="D822" s="203">
        <f t="shared" si="193"/>
        <v>822</v>
      </c>
      <c r="E822" s="204" t="s">
        <v>229</v>
      </c>
      <c r="F822" s="210">
        <f>D820</f>
        <v>820</v>
      </c>
      <c r="G822" s="206"/>
      <c r="H822" s="206"/>
      <c r="I822" s="208"/>
      <c r="J822" s="208"/>
      <c r="K822" s="234"/>
      <c r="L822" s="208"/>
      <c r="M822" s="217"/>
      <c r="N822" s="208"/>
      <c r="O822" s="218"/>
      <c r="P822" s="208"/>
      <c r="Q822" s="240"/>
      <c r="R822" s="239"/>
      <c r="S822" s="240"/>
      <c r="T822" s="216"/>
      <c r="U822" s="196"/>
    </row>
    <row r="823" spans="3:21" s="185" customFormat="1" ht="20.25" customHeight="1">
      <c r="C823" s="198"/>
      <c r="D823" s="203">
        <f t="shared" si="193"/>
        <v>823</v>
      </c>
      <c r="E823" s="207" t="s">
        <v>230</v>
      </c>
      <c r="F823" s="211"/>
      <c r="G823" s="206" t="s">
        <v>44</v>
      </c>
      <c r="H823" s="206"/>
      <c r="I823" s="208"/>
      <c r="J823" s="208"/>
      <c r="K823" s="234">
        <v>1</v>
      </c>
      <c r="L823" s="208" t="s">
        <v>206</v>
      </c>
      <c r="M823" s="217">
        <v>1</v>
      </c>
      <c r="N823" s="208" t="s">
        <v>206</v>
      </c>
      <c r="O823" s="218">
        <v>3</v>
      </c>
      <c r="P823" s="208" t="s">
        <v>48</v>
      </c>
      <c r="Q823" s="240">
        <f t="shared" ref="Q823:Q824" si="227">M823*O823</f>
        <v>3</v>
      </c>
      <c r="R823" s="239"/>
      <c r="S823" s="240">
        <f t="shared" si="210"/>
        <v>3</v>
      </c>
      <c r="T823" s="216" t="s">
        <v>48</v>
      </c>
      <c r="U823" s="196" t="str">
        <f t="shared" si="209"/>
        <v>3 Hrs</v>
      </c>
    </row>
    <row r="824" spans="3:21" s="185" customFormat="1" ht="20.25" customHeight="1">
      <c r="C824" s="198"/>
      <c r="D824" s="203">
        <f t="shared" si="193"/>
        <v>824</v>
      </c>
      <c r="E824" s="207" t="s">
        <v>231</v>
      </c>
      <c r="F824" s="211">
        <f t="shared" ref="F824" si="228">D823</f>
        <v>823</v>
      </c>
      <c r="G824" s="206" t="s">
        <v>63</v>
      </c>
      <c r="H824" s="206"/>
      <c r="I824" s="208"/>
      <c r="J824" s="208"/>
      <c r="K824" s="234">
        <v>2</v>
      </c>
      <c r="L824" s="208" t="s">
        <v>232</v>
      </c>
      <c r="M824" s="235">
        <f>1308*2*1</f>
        <v>2616</v>
      </c>
      <c r="N824" s="208" t="s">
        <v>210</v>
      </c>
      <c r="O824" s="246">
        <f>1/100</f>
        <v>0.01</v>
      </c>
      <c r="P824" s="208"/>
      <c r="Q824" s="240">
        <f t="shared" si="227"/>
        <v>26.16</v>
      </c>
      <c r="R824" s="239"/>
      <c r="S824" s="240">
        <f t="shared" si="210"/>
        <v>26.16</v>
      </c>
      <c r="T824" s="216"/>
      <c r="U824" s="196" t="str">
        <f t="shared" si="209"/>
        <v xml:space="preserve">26.16 </v>
      </c>
    </row>
    <row r="825" spans="3:21" s="185" customFormat="1" ht="20.25" customHeight="1">
      <c r="C825" s="198">
        <f>D825</f>
        <v>825</v>
      </c>
      <c r="D825" s="203">
        <f t="shared" si="193"/>
        <v>825</v>
      </c>
      <c r="E825" s="204" t="s">
        <v>233</v>
      </c>
      <c r="F825" s="210">
        <f>D1286</f>
        <v>1276</v>
      </c>
      <c r="G825" s="206"/>
      <c r="H825" s="206"/>
      <c r="I825" s="208"/>
      <c r="J825" s="208"/>
      <c r="K825" s="234"/>
      <c r="L825" s="208"/>
      <c r="M825" s="217"/>
      <c r="N825" s="208"/>
      <c r="O825" s="218"/>
      <c r="P825" s="208"/>
      <c r="Q825" s="240"/>
      <c r="R825" s="239"/>
      <c r="S825" s="240"/>
      <c r="T825" s="216"/>
      <c r="U825" s="196"/>
    </row>
    <row r="826" spans="3:21" s="185" customFormat="1" ht="20.25" customHeight="1">
      <c r="C826" s="198"/>
      <c r="D826" s="203">
        <f t="shared" si="193"/>
        <v>826</v>
      </c>
      <c r="E826" s="207" t="s">
        <v>234</v>
      </c>
      <c r="F826" s="211"/>
      <c r="G826" s="206"/>
      <c r="H826" s="206"/>
      <c r="I826" s="208"/>
      <c r="J826" s="208"/>
      <c r="K826" s="234">
        <v>1</v>
      </c>
      <c r="L826" s="208" t="s">
        <v>81</v>
      </c>
      <c r="M826" s="235">
        <f t="shared" ref="M826:M829" si="229">K826</f>
        <v>1</v>
      </c>
      <c r="N826" s="208" t="s">
        <v>84</v>
      </c>
      <c r="O826" s="218">
        <v>4</v>
      </c>
      <c r="P826" s="208" t="s">
        <v>41</v>
      </c>
      <c r="Q826" s="240">
        <f t="shared" ref="Q826:Q829" si="230">M826*O826</f>
        <v>4</v>
      </c>
      <c r="R826" s="239"/>
      <c r="S826" s="240">
        <f t="shared" si="210"/>
        <v>4</v>
      </c>
      <c r="T826" s="216" t="s">
        <v>42</v>
      </c>
      <c r="U826" s="196" t="str">
        <f t="shared" si="209"/>
        <v>4 Days</v>
      </c>
    </row>
    <row r="827" spans="3:21" s="185" customFormat="1" ht="20.25" customHeight="1">
      <c r="C827" s="198"/>
      <c r="D827" s="203">
        <f t="shared" si="193"/>
        <v>827</v>
      </c>
      <c r="E827" s="207" t="s">
        <v>235</v>
      </c>
      <c r="F827" s="211">
        <f t="shared" ref="F827:F829" si="231">D826</f>
        <v>826</v>
      </c>
      <c r="G827" s="206" t="s">
        <v>44</v>
      </c>
      <c r="H827" s="206"/>
      <c r="I827" s="208"/>
      <c r="J827" s="208"/>
      <c r="K827" s="234">
        <v>22</v>
      </c>
      <c r="L827" s="208" t="s">
        <v>81</v>
      </c>
      <c r="M827" s="217">
        <f t="shared" si="229"/>
        <v>22</v>
      </c>
      <c r="N827" s="208" t="s">
        <v>236</v>
      </c>
      <c r="O827" s="218">
        <v>0.25</v>
      </c>
      <c r="P827" s="208" t="s">
        <v>162</v>
      </c>
      <c r="Q827" s="240">
        <f t="shared" si="230"/>
        <v>5.5</v>
      </c>
      <c r="R827" s="239"/>
      <c r="S827" s="240">
        <f t="shared" si="210"/>
        <v>5.5</v>
      </c>
      <c r="T827" s="216" t="s">
        <v>48</v>
      </c>
      <c r="U827" s="196" t="str">
        <f t="shared" si="209"/>
        <v>5.5 Hrs</v>
      </c>
    </row>
    <row r="828" spans="3:21" s="185" customFormat="1" ht="20.25" customHeight="1">
      <c r="C828" s="198"/>
      <c r="D828" s="203">
        <f t="shared" si="193"/>
        <v>828</v>
      </c>
      <c r="E828" s="207" t="s">
        <v>237</v>
      </c>
      <c r="F828" s="211">
        <f t="shared" si="231"/>
        <v>827</v>
      </c>
      <c r="G828" s="206" t="s">
        <v>238</v>
      </c>
      <c r="H828" s="206"/>
      <c r="I828" s="208"/>
      <c r="J828" s="208"/>
      <c r="K828" s="234">
        <v>22</v>
      </c>
      <c r="L828" s="208" t="s">
        <v>81</v>
      </c>
      <c r="M828" s="217">
        <f t="shared" si="229"/>
        <v>22</v>
      </c>
      <c r="N828" s="208" t="s">
        <v>81</v>
      </c>
      <c r="O828" s="218">
        <v>0.45</v>
      </c>
      <c r="P828" s="208" t="s">
        <v>162</v>
      </c>
      <c r="Q828" s="240">
        <f t="shared" si="230"/>
        <v>9.9</v>
      </c>
      <c r="R828" s="239"/>
      <c r="S828" s="240">
        <f t="shared" si="210"/>
        <v>9.9</v>
      </c>
      <c r="T828" s="216" t="s">
        <v>48</v>
      </c>
      <c r="U828" s="196" t="str">
        <f t="shared" si="209"/>
        <v>9.9 Hrs</v>
      </c>
    </row>
    <row r="829" spans="3:21" s="185" customFormat="1" ht="20.25" customHeight="1">
      <c r="C829" s="198"/>
      <c r="D829" s="203">
        <f t="shared" si="193"/>
        <v>829</v>
      </c>
      <c r="E829" s="207" t="s">
        <v>239</v>
      </c>
      <c r="F829" s="211">
        <f t="shared" si="231"/>
        <v>828</v>
      </c>
      <c r="G829" s="206" t="s">
        <v>240</v>
      </c>
      <c r="H829" s="206"/>
      <c r="I829" s="208"/>
      <c r="J829" s="208"/>
      <c r="K829" s="234">
        <v>22</v>
      </c>
      <c r="L829" s="208" t="s">
        <v>81</v>
      </c>
      <c r="M829" s="217">
        <f t="shared" si="229"/>
        <v>22</v>
      </c>
      <c r="N829" s="208" t="s">
        <v>81</v>
      </c>
      <c r="O829" s="218">
        <v>0.5</v>
      </c>
      <c r="P829" s="208" t="s">
        <v>162</v>
      </c>
      <c r="Q829" s="240">
        <f t="shared" si="230"/>
        <v>11</v>
      </c>
      <c r="R829" s="239"/>
      <c r="S829" s="240">
        <f t="shared" si="210"/>
        <v>11</v>
      </c>
      <c r="T829" s="216" t="s">
        <v>48</v>
      </c>
      <c r="U829" s="196" t="str">
        <f t="shared" si="209"/>
        <v>11 Hrs</v>
      </c>
    </row>
    <row r="830" spans="3:21" s="185" customFormat="1" ht="20.25" customHeight="1">
      <c r="C830" s="198">
        <f>D830</f>
        <v>830</v>
      </c>
      <c r="D830" s="203">
        <f t="shared" si="193"/>
        <v>830</v>
      </c>
      <c r="E830" s="204" t="s">
        <v>241</v>
      </c>
      <c r="F830" s="210">
        <f>D1285</f>
        <v>1275</v>
      </c>
      <c r="G830" s="206"/>
      <c r="H830" s="206"/>
      <c r="I830" s="208"/>
      <c r="J830" s="208"/>
      <c r="K830" s="234"/>
      <c r="L830" s="208"/>
      <c r="M830" s="217"/>
      <c r="N830" s="208"/>
      <c r="O830" s="218"/>
      <c r="P830" s="208"/>
      <c r="Q830" s="240"/>
      <c r="R830" s="239"/>
      <c r="S830" s="240"/>
      <c r="T830" s="216"/>
      <c r="U830" s="196"/>
    </row>
    <row r="831" spans="3:21" s="185" customFormat="1" ht="20.25" customHeight="1">
      <c r="C831" s="198"/>
      <c r="D831" s="203">
        <f t="shared" si="193"/>
        <v>831</v>
      </c>
      <c r="E831" s="207" t="s">
        <v>242</v>
      </c>
      <c r="F831" s="211"/>
      <c r="G831" s="206"/>
      <c r="H831" s="206"/>
      <c r="I831" s="208"/>
      <c r="J831" s="208"/>
      <c r="K831" s="234">
        <v>1</v>
      </c>
      <c r="L831" s="208" t="s">
        <v>81</v>
      </c>
      <c r="M831" s="235">
        <f t="shared" ref="M831:M834" si="232">K831</f>
        <v>1</v>
      </c>
      <c r="N831" s="208" t="s">
        <v>84</v>
      </c>
      <c r="O831" s="218">
        <v>4</v>
      </c>
      <c r="P831" s="208" t="s">
        <v>41</v>
      </c>
      <c r="Q831" s="240">
        <f t="shared" ref="Q831:Q834" si="233">M831*O831</f>
        <v>4</v>
      </c>
      <c r="R831" s="239"/>
      <c r="S831" s="240">
        <f t="shared" si="210"/>
        <v>4</v>
      </c>
      <c r="T831" s="216" t="s">
        <v>48</v>
      </c>
      <c r="U831" s="196" t="str">
        <f t="shared" si="209"/>
        <v>4 Hrs</v>
      </c>
    </row>
    <row r="832" spans="3:21" s="185" customFormat="1" ht="20.25" customHeight="1">
      <c r="C832" s="198"/>
      <c r="D832" s="203">
        <f t="shared" si="193"/>
        <v>832</v>
      </c>
      <c r="E832" s="207" t="s">
        <v>243</v>
      </c>
      <c r="F832" s="211">
        <f t="shared" ref="F832:F834" si="234">D831</f>
        <v>831</v>
      </c>
      <c r="G832" s="206" t="s">
        <v>44</v>
      </c>
      <c r="H832" s="206"/>
      <c r="I832" s="208"/>
      <c r="J832" s="208"/>
      <c r="K832" s="234">
        <v>414</v>
      </c>
      <c r="L832" s="208" t="s">
        <v>81</v>
      </c>
      <c r="M832" s="217">
        <f t="shared" si="232"/>
        <v>414</v>
      </c>
      <c r="N832" s="208" t="s">
        <v>236</v>
      </c>
      <c r="O832" s="218">
        <v>0.1</v>
      </c>
      <c r="P832" s="208" t="s">
        <v>162</v>
      </c>
      <c r="Q832" s="240">
        <f t="shared" si="233"/>
        <v>41.400000000000006</v>
      </c>
      <c r="R832" s="239"/>
      <c r="S832" s="240">
        <f t="shared" si="210"/>
        <v>41.4</v>
      </c>
      <c r="T832" s="216" t="s">
        <v>48</v>
      </c>
      <c r="U832" s="196" t="str">
        <f t="shared" si="209"/>
        <v>41.4 Hrs</v>
      </c>
    </row>
    <row r="833" spans="3:21" s="185" customFormat="1" ht="20.25" customHeight="1">
      <c r="C833" s="198"/>
      <c r="D833" s="203">
        <f t="shared" si="193"/>
        <v>833</v>
      </c>
      <c r="E833" s="207" t="s">
        <v>244</v>
      </c>
      <c r="F833" s="211">
        <f t="shared" si="234"/>
        <v>832</v>
      </c>
      <c r="G833" s="206" t="s">
        <v>238</v>
      </c>
      <c r="H833" s="206"/>
      <c r="I833" s="208"/>
      <c r="J833" s="208"/>
      <c r="K833" s="234">
        <v>414</v>
      </c>
      <c r="L833" s="208" t="s">
        <v>81</v>
      </c>
      <c r="M833" s="217">
        <f t="shared" si="232"/>
        <v>414</v>
      </c>
      <c r="N833" s="208" t="s">
        <v>236</v>
      </c>
      <c r="O833" s="218">
        <v>0.1</v>
      </c>
      <c r="P833" s="208" t="s">
        <v>162</v>
      </c>
      <c r="Q833" s="240">
        <f t="shared" si="233"/>
        <v>41.400000000000006</v>
      </c>
      <c r="R833" s="239"/>
      <c r="S833" s="240">
        <f t="shared" si="210"/>
        <v>41.4</v>
      </c>
      <c r="T833" s="216" t="s">
        <v>48</v>
      </c>
      <c r="U833" s="196" t="str">
        <f t="shared" si="209"/>
        <v>41.4 Hrs</v>
      </c>
    </row>
    <row r="834" spans="3:21" s="185" customFormat="1" ht="20.25" customHeight="1">
      <c r="C834" s="198"/>
      <c r="D834" s="203">
        <f t="shared" si="193"/>
        <v>834</v>
      </c>
      <c r="E834" s="207" t="s">
        <v>245</v>
      </c>
      <c r="F834" s="211">
        <f t="shared" si="234"/>
        <v>833</v>
      </c>
      <c r="G834" s="206" t="s">
        <v>217</v>
      </c>
      <c r="H834" s="206"/>
      <c r="I834" s="208"/>
      <c r="J834" s="208"/>
      <c r="K834" s="234">
        <v>414</v>
      </c>
      <c r="L834" s="208" t="s">
        <v>81</v>
      </c>
      <c r="M834" s="217">
        <f t="shared" si="232"/>
        <v>414</v>
      </c>
      <c r="N834" s="208" t="s">
        <v>81</v>
      </c>
      <c r="O834" s="246">
        <f>1/60</f>
        <v>1.6666666666666666E-2</v>
      </c>
      <c r="P834" s="208" t="s">
        <v>162</v>
      </c>
      <c r="Q834" s="240">
        <f t="shared" si="233"/>
        <v>6.8999999999999995</v>
      </c>
      <c r="R834" s="239"/>
      <c r="S834" s="240">
        <f t="shared" si="210"/>
        <v>6.9</v>
      </c>
      <c r="T834" s="216" t="s">
        <v>48</v>
      </c>
      <c r="U834" s="196" t="str">
        <f t="shared" si="209"/>
        <v>6.9 Hrs</v>
      </c>
    </row>
    <row r="835" spans="3:21" s="185" customFormat="1" ht="20.25" customHeight="1">
      <c r="C835" s="198">
        <f>D835</f>
        <v>835</v>
      </c>
      <c r="D835" s="203">
        <f t="shared" si="193"/>
        <v>835</v>
      </c>
      <c r="E835" s="204" t="s">
        <v>246</v>
      </c>
      <c r="F835" s="210">
        <f>D1280</f>
        <v>1270</v>
      </c>
      <c r="G835" s="206"/>
      <c r="H835" s="206"/>
      <c r="I835" s="208"/>
      <c r="J835" s="208"/>
      <c r="K835" s="234"/>
      <c r="L835" s="208"/>
      <c r="M835" s="217"/>
      <c r="N835" s="208"/>
      <c r="O835" s="218"/>
      <c r="P835" s="208"/>
      <c r="Q835" s="240"/>
      <c r="R835" s="239"/>
      <c r="S835" s="240"/>
      <c r="T835" s="216"/>
      <c r="U835" s="196"/>
    </row>
    <row r="836" spans="3:21" s="185" customFormat="1" ht="20.25" customHeight="1">
      <c r="C836" s="198"/>
      <c r="D836" s="203">
        <f t="shared" ref="D836:D899" si="235">D835+1</f>
        <v>836</v>
      </c>
      <c r="E836" s="207" t="s">
        <v>247</v>
      </c>
      <c r="F836" s="211"/>
      <c r="G836" s="206" t="s">
        <v>44</v>
      </c>
      <c r="H836" s="206"/>
      <c r="I836" s="224">
        <v>8</v>
      </c>
      <c r="J836" s="234" t="s">
        <v>248</v>
      </c>
      <c r="K836" s="234">
        <v>2</v>
      </c>
      <c r="L836" s="208" t="s">
        <v>81</v>
      </c>
      <c r="M836" s="227">
        <f>LEFT(J836,SEARCH(" ",J836,1)-1)*K836*0.001</f>
        <v>19.044</v>
      </c>
      <c r="N836" s="208" t="s">
        <v>249</v>
      </c>
      <c r="O836" s="246">
        <f>VLOOKUP(I836,BM!$A$2:$X$104,2,FALSE)</f>
        <v>0.1</v>
      </c>
      <c r="P836" s="208" t="s">
        <v>162</v>
      </c>
      <c r="Q836" s="240">
        <f t="shared" ref="Q836:Q841" si="236">M836*O836</f>
        <v>1.9044000000000001</v>
      </c>
      <c r="R836" s="239"/>
      <c r="S836" s="240">
        <f t="shared" si="210"/>
        <v>1.9</v>
      </c>
      <c r="T836" s="216" t="s">
        <v>48</v>
      </c>
      <c r="U836" s="196" t="str">
        <f t="shared" si="209"/>
        <v>1.9 Hrs</v>
      </c>
    </row>
    <row r="837" spans="3:21" s="185" customFormat="1" ht="20.25" customHeight="1">
      <c r="C837" s="198"/>
      <c r="D837" s="203">
        <f t="shared" si="235"/>
        <v>837</v>
      </c>
      <c r="E837" s="207" t="s">
        <v>250</v>
      </c>
      <c r="F837" s="211">
        <f t="shared" ref="F837:F841" si="237">D836</f>
        <v>836</v>
      </c>
      <c r="G837" s="206" t="s">
        <v>52</v>
      </c>
      <c r="H837" s="206"/>
      <c r="I837" s="224">
        <v>25</v>
      </c>
      <c r="J837" s="208" t="str">
        <f t="shared" ref="J837:J841" si="238">J836</f>
        <v>9522 mm</v>
      </c>
      <c r="K837" s="234">
        <v>2</v>
      </c>
      <c r="L837" s="208" t="s">
        <v>81</v>
      </c>
      <c r="M837" s="227">
        <f>LEFT(J837,SEARCH(" ",J837,1)-1)*K837*0.001</f>
        <v>19.044</v>
      </c>
      <c r="N837" s="208" t="s">
        <v>249</v>
      </c>
      <c r="O837" s="246">
        <f>VLOOKUP(I837,BM!$A$2:$X$104,3,FALSE)</f>
        <v>0.25</v>
      </c>
      <c r="P837" s="208" t="s">
        <v>162</v>
      </c>
      <c r="Q837" s="240">
        <f t="shared" si="236"/>
        <v>4.7610000000000001</v>
      </c>
      <c r="R837" s="239"/>
      <c r="S837" s="240">
        <f t="shared" si="210"/>
        <v>4.76</v>
      </c>
      <c r="T837" s="216" t="s">
        <v>48</v>
      </c>
      <c r="U837" s="196" t="str">
        <f t="shared" si="209"/>
        <v>4.76 Hrs</v>
      </c>
    </row>
    <row r="838" spans="3:21" s="185" customFormat="1" ht="20.25" customHeight="1">
      <c r="C838" s="198"/>
      <c r="D838" s="203">
        <f t="shared" si="235"/>
        <v>838</v>
      </c>
      <c r="E838" s="207" t="s">
        <v>251</v>
      </c>
      <c r="F838" s="211">
        <f t="shared" si="237"/>
        <v>837</v>
      </c>
      <c r="G838" s="206" t="s">
        <v>201</v>
      </c>
      <c r="H838" s="206"/>
      <c r="I838" s="224">
        <v>25</v>
      </c>
      <c r="J838" s="208" t="str">
        <f t="shared" si="238"/>
        <v>9522 mm</v>
      </c>
      <c r="K838" s="234">
        <v>2</v>
      </c>
      <c r="L838" s="208" t="s">
        <v>81</v>
      </c>
      <c r="M838" s="235">
        <f>K838</f>
        <v>2</v>
      </c>
      <c r="N838" s="208" t="s">
        <v>81</v>
      </c>
      <c r="O838" s="218">
        <v>2</v>
      </c>
      <c r="P838" s="208" t="s">
        <v>162</v>
      </c>
      <c r="Q838" s="240">
        <f t="shared" si="236"/>
        <v>4</v>
      </c>
      <c r="R838" s="239"/>
      <c r="S838" s="240">
        <f t="shared" si="210"/>
        <v>4</v>
      </c>
      <c r="T838" s="216" t="s">
        <v>48</v>
      </c>
      <c r="U838" s="196" t="str">
        <f t="shared" si="209"/>
        <v>4 Hrs</v>
      </c>
    </row>
    <row r="839" spans="3:21" s="185" customFormat="1" ht="20.25" customHeight="1">
      <c r="C839" s="198"/>
      <c r="D839" s="203">
        <f t="shared" si="235"/>
        <v>839</v>
      </c>
      <c r="E839" s="207" t="s">
        <v>252</v>
      </c>
      <c r="F839" s="211">
        <f t="shared" si="237"/>
        <v>838</v>
      </c>
      <c r="G839" s="206" t="s">
        <v>61</v>
      </c>
      <c r="H839" s="206"/>
      <c r="I839" s="224">
        <v>25</v>
      </c>
      <c r="J839" s="208" t="str">
        <f t="shared" si="238"/>
        <v>9522 mm</v>
      </c>
      <c r="K839" s="234">
        <v>2</v>
      </c>
      <c r="L839" s="208" t="s">
        <v>81</v>
      </c>
      <c r="M839" s="217">
        <v>4</v>
      </c>
      <c r="N839" s="208" t="s">
        <v>81</v>
      </c>
      <c r="O839" s="218">
        <v>4</v>
      </c>
      <c r="P839" s="208" t="s">
        <v>162</v>
      </c>
      <c r="Q839" s="240">
        <f t="shared" si="236"/>
        <v>16</v>
      </c>
      <c r="R839" s="239"/>
      <c r="S839" s="240">
        <f t="shared" si="210"/>
        <v>16</v>
      </c>
      <c r="T839" s="216" t="s">
        <v>48</v>
      </c>
      <c r="U839" s="196" t="str">
        <f t="shared" si="209"/>
        <v>16 Hrs</v>
      </c>
    </row>
    <row r="840" spans="3:21" s="185" customFormat="1" ht="20.25" customHeight="1">
      <c r="C840" s="198"/>
      <c r="D840" s="203">
        <f t="shared" si="235"/>
        <v>840</v>
      </c>
      <c r="E840" s="207" t="s">
        <v>253</v>
      </c>
      <c r="F840" s="211">
        <f t="shared" si="237"/>
        <v>839</v>
      </c>
      <c r="G840" s="206" t="s">
        <v>240</v>
      </c>
      <c r="H840" s="206"/>
      <c r="I840" s="224">
        <v>25</v>
      </c>
      <c r="J840" s="208" t="str">
        <f t="shared" si="238"/>
        <v>9522 mm</v>
      </c>
      <c r="K840" s="234">
        <v>2</v>
      </c>
      <c r="L840" s="208" t="s">
        <v>81</v>
      </c>
      <c r="M840" s="217">
        <v>4</v>
      </c>
      <c r="N840" s="208" t="s">
        <v>81</v>
      </c>
      <c r="O840" s="218">
        <v>1</v>
      </c>
      <c r="P840" s="208" t="s">
        <v>162</v>
      </c>
      <c r="Q840" s="240">
        <f t="shared" si="236"/>
        <v>4</v>
      </c>
      <c r="R840" s="239"/>
      <c r="S840" s="240">
        <f t="shared" si="210"/>
        <v>4</v>
      </c>
      <c r="T840" s="216" t="s">
        <v>48</v>
      </c>
      <c r="U840" s="196" t="str">
        <f t="shared" si="209"/>
        <v>4 Hrs</v>
      </c>
    </row>
    <row r="841" spans="3:21" s="185" customFormat="1" ht="20.25" customHeight="1">
      <c r="C841" s="198"/>
      <c r="D841" s="203">
        <f t="shared" si="235"/>
        <v>841</v>
      </c>
      <c r="E841" s="207" t="s">
        <v>254</v>
      </c>
      <c r="F841" s="211">
        <f t="shared" si="237"/>
        <v>840</v>
      </c>
      <c r="G841" s="206" t="s">
        <v>61</v>
      </c>
      <c r="H841" s="206"/>
      <c r="I841" s="224">
        <v>25</v>
      </c>
      <c r="J841" s="208" t="str">
        <f t="shared" si="238"/>
        <v>9522 mm</v>
      </c>
      <c r="K841" s="234">
        <v>2</v>
      </c>
      <c r="L841" s="208" t="s">
        <v>81</v>
      </c>
      <c r="M841" s="217">
        <v>4</v>
      </c>
      <c r="N841" s="208" t="s">
        <v>81</v>
      </c>
      <c r="O841" s="218">
        <v>1</v>
      </c>
      <c r="P841" s="208" t="s">
        <v>162</v>
      </c>
      <c r="Q841" s="240">
        <f t="shared" si="236"/>
        <v>4</v>
      </c>
      <c r="R841" s="239"/>
      <c r="S841" s="240">
        <f t="shared" si="210"/>
        <v>4</v>
      </c>
      <c r="T841" s="216" t="s">
        <v>48</v>
      </c>
      <c r="U841" s="196" t="str">
        <f t="shared" si="209"/>
        <v>4 Hrs</v>
      </c>
    </row>
    <row r="842" spans="3:21" s="185" customFormat="1" ht="20.25" customHeight="1">
      <c r="C842" s="198">
        <f>D842</f>
        <v>842</v>
      </c>
      <c r="D842" s="203">
        <f t="shared" si="235"/>
        <v>842</v>
      </c>
      <c r="E842" s="204" t="s">
        <v>255</v>
      </c>
      <c r="F842" s="210">
        <f>D1281</f>
        <v>1271</v>
      </c>
      <c r="G842" s="206"/>
      <c r="H842" s="206"/>
      <c r="I842" s="208"/>
      <c r="J842" s="208"/>
      <c r="K842" s="234"/>
      <c r="L842" s="208"/>
      <c r="M842" s="217"/>
      <c r="N842" s="208"/>
      <c r="O842" s="218"/>
      <c r="P842" s="208"/>
      <c r="Q842" s="240"/>
      <c r="R842" s="239"/>
      <c r="S842" s="240"/>
      <c r="T842" s="216"/>
      <c r="U842" s="196"/>
    </row>
    <row r="843" spans="3:21" s="185" customFormat="1" ht="20.25" customHeight="1">
      <c r="C843" s="198"/>
      <c r="D843" s="203">
        <f t="shared" si="235"/>
        <v>843</v>
      </c>
      <c r="E843" s="207" t="s">
        <v>256</v>
      </c>
      <c r="F843" s="211"/>
      <c r="G843" s="206" t="s">
        <v>44</v>
      </c>
      <c r="H843" s="206"/>
      <c r="I843" s="224">
        <v>8</v>
      </c>
      <c r="J843" s="234" t="s">
        <v>257</v>
      </c>
      <c r="K843" s="234">
        <v>2</v>
      </c>
      <c r="L843" s="208" t="s">
        <v>81</v>
      </c>
      <c r="M843" s="227">
        <f>LEFT(J843,SEARCH(" ",J843,1)-1)*K843*0.001</f>
        <v>26.731999999999999</v>
      </c>
      <c r="N843" s="208" t="s">
        <v>249</v>
      </c>
      <c r="O843" s="246">
        <f>VLOOKUP(I843,BM!$A$2:$X$104,2,FALSE)</f>
        <v>0.1</v>
      </c>
      <c r="P843" s="208" t="s">
        <v>162</v>
      </c>
      <c r="Q843" s="240">
        <f t="shared" ref="Q843:Q848" si="239">M843*O843</f>
        <v>2.6732</v>
      </c>
      <c r="R843" s="239"/>
      <c r="S843" s="240">
        <f t="shared" si="210"/>
        <v>2.67</v>
      </c>
      <c r="T843" s="216" t="s">
        <v>48</v>
      </c>
      <c r="U843" s="196" t="str">
        <f t="shared" si="209"/>
        <v>2.67 Hrs</v>
      </c>
    </row>
    <row r="844" spans="3:21" s="185" customFormat="1" ht="20.25" customHeight="1">
      <c r="C844" s="198"/>
      <c r="D844" s="203">
        <f t="shared" si="235"/>
        <v>844</v>
      </c>
      <c r="E844" s="207" t="s">
        <v>258</v>
      </c>
      <c r="F844" s="211">
        <f t="shared" ref="F844:F848" si="240">D843</f>
        <v>843</v>
      </c>
      <c r="G844" s="206" t="s">
        <v>52</v>
      </c>
      <c r="H844" s="206"/>
      <c r="I844" s="233">
        <f t="shared" ref="I844:K848" si="241">I843</f>
        <v>8</v>
      </c>
      <c r="J844" s="211" t="str">
        <f t="shared" si="241"/>
        <v>13366 mm</v>
      </c>
      <c r="K844" s="225">
        <f t="shared" si="241"/>
        <v>2</v>
      </c>
      <c r="L844" s="208" t="s">
        <v>81</v>
      </c>
      <c r="M844" s="227">
        <f>LEFT(J844,SEARCH(" ",J844,1)-1)*K844*0.001</f>
        <v>26.731999999999999</v>
      </c>
      <c r="N844" s="208" t="s">
        <v>249</v>
      </c>
      <c r="O844" s="246">
        <f>VLOOKUP(I844,BM!$A$2:$X$104,3,FALSE)</f>
        <v>0.25</v>
      </c>
      <c r="P844" s="208" t="s">
        <v>162</v>
      </c>
      <c r="Q844" s="240">
        <f t="shared" si="239"/>
        <v>6.6829999999999998</v>
      </c>
      <c r="R844" s="239"/>
      <c r="S844" s="240">
        <f t="shared" si="210"/>
        <v>6.68</v>
      </c>
      <c r="T844" s="216" t="s">
        <v>48</v>
      </c>
      <c r="U844" s="196" t="str">
        <f t="shared" si="209"/>
        <v>6.68 Hrs</v>
      </c>
    </row>
    <row r="845" spans="3:21" s="185" customFormat="1" ht="20.25" customHeight="1">
      <c r="C845" s="198"/>
      <c r="D845" s="203">
        <f t="shared" si="235"/>
        <v>845</v>
      </c>
      <c r="E845" s="207" t="s">
        <v>259</v>
      </c>
      <c r="F845" s="211">
        <f t="shared" si="240"/>
        <v>844</v>
      </c>
      <c r="G845" s="206" t="s">
        <v>201</v>
      </c>
      <c r="H845" s="206"/>
      <c r="I845" s="233">
        <f t="shared" si="241"/>
        <v>8</v>
      </c>
      <c r="J845" s="211" t="str">
        <f t="shared" si="241"/>
        <v>13366 mm</v>
      </c>
      <c r="K845" s="225">
        <f t="shared" si="241"/>
        <v>2</v>
      </c>
      <c r="L845" s="208" t="s">
        <v>81</v>
      </c>
      <c r="M845" s="235">
        <f>K845</f>
        <v>2</v>
      </c>
      <c r="N845" s="208" t="s">
        <v>81</v>
      </c>
      <c r="O845" s="218">
        <v>2</v>
      </c>
      <c r="P845" s="208" t="s">
        <v>162</v>
      </c>
      <c r="Q845" s="240">
        <f t="shared" si="239"/>
        <v>4</v>
      </c>
      <c r="R845" s="239"/>
      <c r="S845" s="240">
        <f t="shared" si="210"/>
        <v>4</v>
      </c>
      <c r="T845" s="216" t="s">
        <v>48</v>
      </c>
      <c r="U845" s="196" t="str">
        <f t="shared" si="209"/>
        <v>4 Hrs</v>
      </c>
    </row>
    <row r="846" spans="3:21" s="185" customFormat="1" ht="20.25" customHeight="1">
      <c r="C846" s="198"/>
      <c r="D846" s="203">
        <f t="shared" si="235"/>
        <v>846</v>
      </c>
      <c r="E846" s="207" t="s">
        <v>260</v>
      </c>
      <c r="F846" s="211">
        <f t="shared" si="240"/>
        <v>845</v>
      </c>
      <c r="G846" s="206" t="s">
        <v>61</v>
      </c>
      <c r="H846" s="206"/>
      <c r="I846" s="233">
        <f t="shared" si="241"/>
        <v>8</v>
      </c>
      <c r="J846" s="211" t="str">
        <f t="shared" si="241"/>
        <v>13366 mm</v>
      </c>
      <c r="K846" s="225">
        <f t="shared" si="241"/>
        <v>2</v>
      </c>
      <c r="L846" s="208" t="s">
        <v>81</v>
      </c>
      <c r="M846" s="217">
        <v>4</v>
      </c>
      <c r="N846" s="208" t="s">
        <v>81</v>
      </c>
      <c r="O846" s="218">
        <v>4</v>
      </c>
      <c r="P846" s="208" t="s">
        <v>162</v>
      </c>
      <c r="Q846" s="240">
        <f t="shared" si="239"/>
        <v>16</v>
      </c>
      <c r="R846" s="239"/>
      <c r="S846" s="240">
        <f t="shared" si="210"/>
        <v>16</v>
      </c>
      <c r="T846" s="216" t="s">
        <v>48</v>
      </c>
      <c r="U846" s="196" t="str">
        <f t="shared" si="209"/>
        <v>16 Hrs</v>
      </c>
    </row>
    <row r="847" spans="3:21" s="185" customFormat="1" ht="20.25" customHeight="1">
      <c r="C847" s="198"/>
      <c r="D847" s="203">
        <f t="shared" si="235"/>
        <v>847</v>
      </c>
      <c r="E847" s="207" t="s">
        <v>261</v>
      </c>
      <c r="F847" s="211">
        <f t="shared" si="240"/>
        <v>846</v>
      </c>
      <c r="G847" s="206" t="s">
        <v>240</v>
      </c>
      <c r="H847" s="206"/>
      <c r="I847" s="233">
        <f t="shared" si="241"/>
        <v>8</v>
      </c>
      <c r="J847" s="211" t="str">
        <f t="shared" si="241"/>
        <v>13366 mm</v>
      </c>
      <c r="K847" s="225">
        <f t="shared" si="241"/>
        <v>2</v>
      </c>
      <c r="L847" s="208" t="s">
        <v>81</v>
      </c>
      <c r="M847" s="217">
        <v>4</v>
      </c>
      <c r="N847" s="208" t="s">
        <v>81</v>
      </c>
      <c r="O847" s="218">
        <v>1</v>
      </c>
      <c r="P847" s="208" t="s">
        <v>162</v>
      </c>
      <c r="Q847" s="240">
        <f t="shared" si="239"/>
        <v>4</v>
      </c>
      <c r="R847" s="239"/>
      <c r="S847" s="240">
        <f t="shared" si="210"/>
        <v>4</v>
      </c>
      <c r="T847" s="216" t="s">
        <v>48</v>
      </c>
      <c r="U847" s="196" t="str">
        <f t="shared" si="209"/>
        <v>4 Hrs</v>
      </c>
    </row>
    <row r="848" spans="3:21" s="185" customFormat="1" ht="20.25" customHeight="1">
      <c r="C848" s="198"/>
      <c r="D848" s="203">
        <f t="shared" si="235"/>
        <v>848</v>
      </c>
      <c r="E848" s="207" t="s">
        <v>262</v>
      </c>
      <c r="F848" s="211">
        <f t="shared" si="240"/>
        <v>847</v>
      </c>
      <c r="G848" s="206" t="s">
        <v>61</v>
      </c>
      <c r="H848" s="206"/>
      <c r="I848" s="233">
        <f t="shared" si="241"/>
        <v>8</v>
      </c>
      <c r="J848" s="211" t="str">
        <f t="shared" si="241"/>
        <v>13366 mm</v>
      </c>
      <c r="K848" s="225">
        <f t="shared" si="241"/>
        <v>2</v>
      </c>
      <c r="L848" s="208" t="s">
        <v>81</v>
      </c>
      <c r="M848" s="217">
        <v>4</v>
      </c>
      <c r="N848" s="208" t="s">
        <v>81</v>
      </c>
      <c r="O848" s="218">
        <v>1</v>
      </c>
      <c r="P848" s="208" t="s">
        <v>162</v>
      </c>
      <c r="Q848" s="240">
        <f t="shared" si="239"/>
        <v>4</v>
      </c>
      <c r="R848" s="239"/>
      <c r="S848" s="240">
        <f t="shared" si="210"/>
        <v>4</v>
      </c>
      <c r="T848" s="216" t="s">
        <v>48</v>
      </c>
      <c r="U848" s="196" t="str">
        <f t="shared" si="209"/>
        <v>4 Hrs</v>
      </c>
    </row>
    <row r="849" spans="3:21" s="185" customFormat="1" ht="20.25" customHeight="1">
      <c r="C849" s="198">
        <f>D849</f>
        <v>849</v>
      </c>
      <c r="D849" s="203">
        <f t="shared" si="235"/>
        <v>849</v>
      </c>
      <c r="E849" s="204" t="s">
        <v>263</v>
      </c>
      <c r="F849" s="210">
        <f>D1282</f>
        <v>1272</v>
      </c>
      <c r="G849" s="206"/>
      <c r="H849" s="206"/>
      <c r="I849" s="208"/>
      <c r="J849" s="208"/>
      <c r="K849" s="234"/>
      <c r="L849" s="208"/>
      <c r="M849" s="217"/>
      <c r="N849" s="208"/>
      <c r="O849" s="218"/>
      <c r="P849" s="208"/>
      <c r="Q849" s="240"/>
      <c r="R849" s="239"/>
      <c r="S849" s="240"/>
      <c r="T849" s="216"/>
      <c r="U849" s="196"/>
    </row>
    <row r="850" spans="3:21" s="185" customFormat="1" ht="20.25" customHeight="1">
      <c r="C850" s="198"/>
      <c r="D850" s="203">
        <f t="shared" si="235"/>
        <v>850</v>
      </c>
      <c r="E850" s="207" t="s">
        <v>264</v>
      </c>
      <c r="F850" s="211"/>
      <c r="G850" s="206" t="s">
        <v>37</v>
      </c>
      <c r="H850" s="206"/>
      <c r="I850" s="208"/>
      <c r="J850" s="208"/>
      <c r="K850" s="234">
        <v>1</v>
      </c>
      <c r="L850" s="208" t="s">
        <v>84</v>
      </c>
      <c r="M850" s="217">
        <v>1</v>
      </c>
      <c r="N850" s="208"/>
      <c r="O850" s="218">
        <v>4</v>
      </c>
      <c r="P850" s="208" t="s">
        <v>41</v>
      </c>
      <c r="Q850" s="240">
        <f t="shared" ref="Q850:Q853" si="242">M850*O850</f>
        <v>4</v>
      </c>
      <c r="R850" s="239"/>
      <c r="S850" s="240">
        <f t="shared" si="210"/>
        <v>4</v>
      </c>
      <c r="T850" s="216" t="s">
        <v>42</v>
      </c>
      <c r="U850" s="196" t="str">
        <f t="shared" si="209"/>
        <v>4 Days</v>
      </c>
    </row>
    <row r="851" spans="3:21" s="185" customFormat="1" ht="20.25" customHeight="1">
      <c r="C851" s="198"/>
      <c r="D851" s="203">
        <f t="shared" si="235"/>
        <v>851</v>
      </c>
      <c r="E851" s="207" t="s">
        <v>265</v>
      </c>
      <c r="F851" s="211">
        <f t="shared" ref="F851:F853" si="243">D850</f>
        <v>850</v>
      </c>
      <c r="G851" s="206" t="s">
        <v>44</v>
      </c>
      <c r="H851" s="206"/>
      <c r="I851" s="224" t="s">
        <v>266</v>
      </c>
      <c r="J851" s="225">
        <v>14</v>
      </c>
      <c r="K851" s="234">
        <v>14</v>
      </c>
      <c r="L851" s="208" t="s">
        <v>81</v>
      </c>
      <c r="M851" s="235">
        <f>K851</f>
        <v>14</v>
      </c>
      <c r="N851" s="208" t="s">
        <v>81</v>
      </c>
      <c r="O851" s="218">
        <v>0.25</v>
      </c>
      <c r="P851" s="208" t="s">
        <v>162</v>
      </c>
      <c r="Q851" s="240">
        <f t="shared" si="242"/>
        <v>3.5</v>
      </c>
      <c r="R851" s="239"/>
      <c r="S851" s="240">
        <f t="shared" si="210"/>
        <v>3.5</v>
      </c>
      <c r="T851" s="216" t="s">
        <v>48</v>
      </c>
      <c r="U851" s="196" t="str">
        <f t="shared" si="209"/>
        <v>3.5 Hrs</v>
      </c>
    </row>
    <row r="852" spans="3:21" s="185" customFormat="1" ht="20.25" customHeight="1">
      <c r="C852" s="198"/>
      <c r="D852" s="203">
        <f t="shared" si="235"/>
        <v>852</v>
      </c>
      <c r="E852" s="207" t="s">
        <v>267</v>
      </c>
      <c r="F852" s="211">
        <f t="shared" si="243"/>
        <v>851</v>
      </c>
      <c r="G852" s="206" t="s">
        <v>44</v>
      </c>
      <c r="H852" s="206"/>
      <c r="I852" s="233" t="str">
        <f t="shared" ref="I852:K853" si="244">I851</f>
        <v>25.4 dia</v>
      </c>
      <c r="J852" s="211">
        <f t="shared" si="244"/>
        <v>14</v>
      </c>
      <c r="K852" s="225">
        <f t="shared" si="244"/>
        <v>14</v>
      </c>
      <c r="L852" s="208" t="s">
        <v>81</v>
      </c>
      <c r="M852" s="235">
        <f>K852</f>
        <v>14</v>
      </c>
      <c r="N852" s="208" t="s">
        <v>81</v>
      </c>
      <c r="O852" s="218">
        <v>0.5</v>
      </c>
      <c r="P852" s="208" t="s">
        <v>162</v>
      </c>
      <c r="Q852" s="240">
        <f t="shared" si="242"/>
        <v>7</v>
      </c>
      <c r="R852" s="239"/>
      <c r="S852" s="240">
        <f t="shared" si="210"/>
        <v>7</v>
      </c>
      <c r="T852" s="216" t="s">
        <v>48</v>
      </c>
      <c r="U852" s="196" t="str">
        <f t="shared" si="209"/>
        <v>7 Hrs</v>
      </c>
    </row>
    <row r="853" spans="3:21" s="185" customFormat="1" ht="20.25" customHeight="1">
      <c r="C853" s="198"/>
      <c r="D853" s="203">
        <f t="shared" si="235"/>
        <v>853</v>
      </c>
      <c r="E853" s="207" t="s">
        <v>268</v>
      </c>
      <c r="F853" s="211">
        <f t="shared" si="243"/>
        <v>852</v>
      </c>
      <c r="G853" s="206" t="s">
        <v>201</v>
      </c>
      <c r="H853" s="206"/>
      <c r="I853" s="233" t="str">
        <f t="shared" si="244"/>
        <v>25.4 dia</v>
      </c>
      <c r="J853" s="211">
        <f t="shared" si="244"/>
        <v>14</v>
      </c>
      <c r="K853" s="225">
        <f t="shared" si="244"/>
        <v>14</v>
      </c>
      <c r="L853" s="208" t="s">
        <v>81</v>
      </c>
      <c r="M853" s="235">
        <f>K853</f>
        <v>14</v>
      </c>
      <c r="N853" s="208" t="s">
        <v>81</v>
      </c>
      <c r="O853" s="218">
        <v>1</v>
      </c>
      <c r="P853" s="208" t="s">
        <v>162</v>
      </c>
      <c r="Q853" s="240">
        <f t="shared" si="242"/>
        <v>14</v>
      </c>
      <c r="R853" s="239"/>
      <c r="S853" s="240">
        <f t="shared" si="210"/>
        <v>14</v>
      </c>
      <c r="T853" s="216" t="s">
        <v>48</v>
      </c>
      <c r="U853" s="196" t="str">
        <f t="shared" si="209"/>
        <v>14 Hrs</v>
      </c>
    </row>
    <row r="854" spans="3:21" s="185" customFormat="1" ht="20.25" customHeight="1">
      <c r="C854" s="198">
        <f t="shared" ref="C854:C855" si="245">D854</f>
        <v>854</v>
      </c>
      <c r="D854" s="203">
        <f t="shared" si="235"/>
        <v>854</v>
      </c>
      <c r="E854" s="250" t="s">
        <v>269</v>
      </c>
      <c r="F854" s="211"/>
      <c r="G854" s="206"/>
      <c r="H854" s="206"/>
      <c r="I854" s="208"/>
      <c r="J854" s="208"/>
      <c r="K854" s="234"/>
      <c r="L854" s="208"/>
      <c r="M854" s="217"/>
      <c r="N854" s="208"/>
      <c r="O854" s="218"/>
      <c r="P854" s="208"/>
      <c r="Q854" s="240"/>
      <c r="R854" s="239"/>
      <c r="S854" s="240"/>
      <c r="T854" s="216"/>
      <c r="U854" s="196"/>
    </row>
    <row r="855" spans="3:21" s="185" customFormat="1" ht="20.25" customHeight="1">
      <c r="C855" s="198">
        <f t="shared" si="245"/>
        <v>855</v>
      </c>
      <c r="D855" s="203">
        <f t="shared" si="235"/>
        <v>855</v>
      </c>
      <c r="E855" s="204" t="s">
        <v>270</v>
      </c>
      <c r="F855" s="210">
        <f>D1099</f>
        <v>1099</v>
      </c>
      <c r="G855" s="206"/>
      <c r="H855" s="206"/>
      <c r="I855" s="208"/>
      <c r="J855" s="208"/>
      <c r="K855" s="234"/>
      <c r="L855" s="208"/>
      <c r="M855" s="217"/>
      <c r="N855" s="208"/>
      <c r="O855" s="218"/>
      <c r="P855" s="208"/>
      <c r="Q855" s="240"/>
      <c r="R855" s="239"/>
      <c r="S855" s="240"/>
      <c r="T855" s="216"/>
      <c r="U855" s="196"/>
    </row>
    <row r="856" spans="3:21" s="185" customFormat="1" ht="20.25" customHeight="1">
      <c r="C856" s="198"/>
      <c r="D856" s="203">
        <f t="shared" si="235"/>
        <v>856</v>
      </c>
      <c r="E856" s="207" t="s">
        <v>271</v>
      </c>
      <c r="F856" s="211"/>
      <c r="G856" s="206" t="s">
        <v>37</v>
      </c>
      <c r="H856" s="206"/>
      <c r="I856" s="208"/>
      <c r="J856" s="208"/>
      <c r="K856" s="234">
        <v>1</v>
      </c>
      <c r="L856" s="208" t="s">
        <v>84</v>
      </c>
      <c r="M856" s="217">
        <v>1</v>
      </c>
      <c r="N856" s="208"/>
      <c r="O856" s="218">
        <v>4</v>
      </c>
      <c r="P856" s="208" t="s">
        <v>41</v>
      </c>
      <c r="Q856" s="240">
        <f t="shared" ref="Q856:Q857" si="246">M856*O856</f>
        <v>4</v>
      </c>
      <c r="R856" s="239"/>
      <c r="S856" s="240">
        <f t="shared" si="210"/>
        <v>4</v>
      </c>
      <c r="T856" s="216" t="s">
        <v>42</v>
      </c>
      <c r="U856" s="196" t="str">
        <f t="shared" si="209"/>
        <v>4 Days</v>
      </c>
    </row>
    <row r="857" spans="3:21" s="185" customFormat="1" ht="20.25" customHeight="1">
      <c r="C857" s="198"/>
      <c r="D857" s="203">
        <f t="shared" si="235"/>
        <v>857</v>
      </c>
      <c r="E857" s="207" t="s">
        <v>272</v>
      </c>
      <c r="F857" s="211">
        <f t="shared" ref="F857" si="247">D856</f>
        <v>856</v>
      </c>
      <c r="G857" s="206" t="s">
        <v>201</v>
      </c>
      <c r="H857" s="206"/>
      <c r="I857" s="224">
        <v>18</v>
      </c>
      <c r="J857" s="225" t="s">
        <v>273</v>
      </c>
      <c r="K857" s="234">
        <v>1</v>
      </c>
      <c r="L857" s="208" t="s">
        <v>81</v>
      </c>
      <c r="M857" s="227">
        <f>LEFT(J857,SEARCH(" ",J857,1)-1)*K857*0.001</f>
        <v>43</v>
      </c>
      <c r="N857" s="208" t="s">
        <v>139</v>
      </c>
      <c r="O857" s="246">
        <f>VLOOKUP(I857,BM!$A$2:$X$104,2,FALSE)</f>
        <v>0.1</v>
      </c>
      <c r="P857" s="208" t="s">
        <v>112</v>
      </c>
      <c r="Q857" s="240">
        <f t="shared" si="246"/>
        <v>4.3</v>
      </c>
      <c r="R857" s="239">
        <v>1</v>
      </c>
      <c r="S857" s="240">
        <f t="shared" si="210"/>
        <v>5.3</v>
      </c>
      <c r="T857" s="216" t="s">
        <v>48</v>
      </c>
      <c r="U857" s="196" t="str">
        <f t="shared" si="209"/>
        <v>5.3 Hrs</v>
      </c>
    </row>
    <row r="858" spans="3:21" s="185" customFormat="1" ht="20.25" customHeight="1">
      <c r="C858" s="198">
        <f>D858</f>
        <v>858</v>
      </c>
      <c r="D858" s="203">
        <f t="shared" si="235"/>
        <v>858</v>
      </c>
      <c r="E858" s="204" t="s">
        <v>274</v>
      </c>
      <c r="F858" s="210">
        <f>D855</f>
        <v>855</v>
      </c>
      <c r="G858" s="206"/>
      <c r="H858" s="206"/>
      <c r="I858" s="208"/>
      <c r="J858" s="208"/>
      <c r="K858" s="234"/>
      <c r="L858" s="208"/>
      <c r="M858" s="217"/>
      <c r="N858" s="208"/>
      <c r="O858" s="218"/>
      <c r="P858" s="208"/>
      <c r="Q858" s="240"/>
      <c r="R858" s="239"/>
      <c r="S858" s="240"/>
      <c r="T858" s="216"/>
      <c r="U858" s="196"/>
    </row>
    <row r="859" spans="3:21" s="185" customFormat="1" ht="20.25" customHeight="1">
      <c r="C859" s="198"/>
      <c r="D859" s="203">
        <f t="shared" si="235"/>
        <v>859</v>
      </c>
      <c r="E859" s="207" t="s">
        <v>275</v>
      </c>
      <c r="F859" s="211">
        <f t="shared" ref="F859" si="248">D858</f>
        <v>858</v>
      </c>
      <c r="G859" s="206" t="s">
        <v>276</v>
      </c>
      <c r="H859" s="206"/>
      <c r="I859" s="224">
        <v>18</v>
      </c>
      <c r="J859" s="225" t="s">
        <v>273</v>
      </c>
      <c r="K859" s="234">
        <v>3</v>
      </c>
      <c r="L859" s="208" t="s">
        <v>81</v>
      </c>
      <c r="M859" s="227">
        <f>LEFT(J859,SEARCH(" ",J859,1)-1)*K859*0.001</f>
        <v>129</v>
      </c>
      <c r="N859" s="208" t="s">
        <v>139</v>
      </c>
      <c r="O859" s="246">
        <f>VLOOKUP(I859,BM!$A$2:$X$104,3,FALSE)</f>
        <v>0.25</v>
      </c>
      <c r="P859" s="208" t="s">
        <v>112</v>
      </c>
      <c r="Q859" s="240">
        <f t="shared" ref="Q859" si="249">M859*O859</f>
        <v>32.25</v>
      </c>
      <c r="R859" s="239">
        <v>1</v>
      </c>
      <c r="S859" s="240">
        <f t="shared" si="210"/>
        <v>33.25</v>
      </c>
      <c r="T859" s="216" t="s">
        <v>48</v>
      </c>
      <c r="U859" s="196" t="str">
        <f t="shared" si="209"/>
        <v>33.25 Hrs</v>
      </c>
    </row>
    <row r="860" spans="3:21" s="185" customFormat="1" ht="20.25" customHeight="1">
      <c r="C860" s="198">
        <f>D860</f>
        <v>860</v>
      </c>
      <c r="D860" s="203">
        <f t="shared" si="235"/>
        <v>860</v>
      </c>
      <c r="E860" s="204" t="s">
        <v>277</v>
      </c>
      <c r="F860" s="210">
        <f>D858</f>
        <v>858</v>
      </c>
      <c r="G860" s="206"/>
      <c r="H860" s="206"/>
      <c r="I860" s="208"/>
      <c r="J860" s="208"/>
      <c r="K860" s="234"/>
      <c r="L860" s="208"/>
      <c r="M860" s="217"/>
      <c r="N860" s="208"/>
      <c r="O860" s="218"/>
      <c r="P860" s="208"/>
      <c r="Q860" s="240"/>
      <c r="R860" s="239"/>
      <c r="S860" s="240"/>
      <c r="T860" s="216"/>
      <c r="U860" s="196"/>
    </row>
    <row r="861" spans="3:21" s="185" customFormat="1" ht="20.25" customHeight="1">
      <c r="C861" s="198"/>
      <c r="D861" s="203">
        <f t="shared" si="235"/>
        <v>861</v>
      </c>
      <c r="E861" s="207" t="s">
        <v>278</v>
      </c>
      <c r="F861" s="211">
        <f t="shared" ref="F861:F864" si="250">D860</f>
        <v>860</v>
      </c>
      <c r="G861" s="206" t="s">
        <v>52</v>
      </c>
      <c r="H861" s="206"/>
      <c r="I861" s="224">
        <v>18</v>
      </c>
      <c r="J861" s="234" t="s">
        <v>279</v>
      </c>
      <c r="K861" s="234">
        <v>1</v>
      </c>
      <c r="L861" s="208" t="s">
        <v>81</v>
      </c>
      <c r="M861" s="227">
        <f>LEFT(J861,SEARCH(" ",J861,1)-1)*K861*0.001</f>
        <v>2.5</v>
      </c>
      <c r="N861" s="208" t="s">
        <v>139</v>
      </c>
      <c r="O861" s="246">
        <f>VLOOKUP(I861,BM!$A$2:$X$104,5,FALSE)</f>
        <v>0.5</v>
      </c>
      <c r="P861" s="208" t="s">
        <v>112</v>
      </c>
      <c r="Q861" s="240">
        <f t="shared" ref="Q861:Q864" si="251">M861*O861</f>
        <v>1.25</v>
      </c>
      <c r="R861" s="239">
        <v>1</v>
      </c>
      <c r="S861" s="240">
        <f t="shared" ref="S861:S924" si="252">ROUND(Q861+R861,2)</f>
        <v>2.25</v>
      </c>
      <c r="T861" s="216" t="s">
        <v>48</v>
      </c>
      <c r="U861" s="196" t="str">
        <f t="shared" ref="U861:U924" si="253">CONCATENATE(S861," ",T861)</f>
        <v>2.25 Hrs</v>
      </c>
    </row>
    <row r="862" spans="3:21" s="185" customFormat="1" ht="20.25" customHeight="1">
      <c r="C862" s="198"/>
      <c r="D862" s="203">
        <f t="shared" si="235"/>
        <v>862</v>
      </c>
      <c r="E862" s="207" t="s">
        <v>278</v>
      </c>
      <c r="F862" s="211">
        <f t="shared" si="250"/>
        <v>861</v>
      </c>
      <c r="G862" s="206" t="s">
        <v>52</v>
      </c>
      <c r="H862" s="206"/>
      <c r="I862" s="233">
        <f>I861</f>
        <v>18</v>
      </c>
      <c r="J862" s="225" t="s">
        <v>279</v>
      </c>
      <c r="K862" s="234">
        <v>1</v>
      </c>
      <c r="L862" s="208" t="s">
        <v>81</v>
      </c>
      <c r="M862" s="227">
        <f>LEFT(J862,SEARCH(" ",J862,1)-1)*K862*0.001</f>
        <v>2.5</v>
      </c>
      <c r="N862" s="208" t="s">
        <v>139</v>
      </c>
      <c r="O862" s="246">
        <f>VLOOKUP(I862,BM!$A$2:$X$104,5,FALSE)</f>
        <v>0.5</v>
      </c>
      <c r="P862" s="208" t="s">
        <v>112</v>
      </c>
      <c r="Q862" s="240">
        <f t="shared" si="251"/>
        <v>1.25</v>
      </c>
      <c r="R862" s="239">
        <v>1</v>
      </c>
      <c r="S862" s="240">
        <f t="shared" si="252"/>
        <v>2.25</v>
      </c>
      <c r="T862" s="216" t="s">
        <v>48</v>
      </c>
      <c r="U862" s="196" t="str">
        <f t="shared" si="253"/>
        <v>2.25 Hrs</v>
      </c>
    </row>
    <row r="863" spans="3:21" s="185" customFormat="1" ht="20.25" customHeight="1">
      <c r="C863" s="198"/>
      <c r="D863" s="203">
        <f t="shared" si="235"/>
        <v>863</v>
      </c>
      <c r="E863" s="207" t="s">
        <v>278</v>
      </c>
      <c r="F863" s="211">
        <f t="shared" si="250"/>
        <v>862</v>
      </c>
      <c r="G863" s="206" t="s">
        <v>52</v>
      </c>
      <c r="H863" s="206"/>
      <c r="I863" s="233">
        <f>I862</f>
        <v>18</v>
      </c>
      <c r="J863" s="234" t="s">
        <v>280</v>
      </c>
      <c r="K863" s="234">
        <v>1</v>
      </c>
      <c r="L863" s="208" t="s">
        <v>81</v>
      </c>
      <c r="M863" s="227">
        <f t="shared" ref="M863:M864" si="254">LEFT(J863,SEARCH(" ",J863,1)-1)*K863*0.001</f>
        <v>1.25</v>
      </c>
      <c r="N863" s="208" t="s">
        <v>139</v>
      </c>
      <c r="O863" s="246">
        <f>VLOOKUP(I863,BM!$A$2:$X$104,5,FALSE)</f>
        <v>0.5</v>
      </c>
      <c r="P863" s="208" t="s">
        <v>112</v>
      </c>
      <c r="Q863" s="240">
        <f t="shared" si="251"/>
        <v>0.625</v>
      </c>
      <c r="R863" s="239">
        <v>1</v>
      </c>
      <c r="S863" s="240">
        <f t="shared" si="252"/>
        <v>1.63</v>
      </c>
      <c r="T863" s="216" t="s">
        <v>48</v>
      </c>
      <c r="U863" s="196" t="str">
        <f t="shared" si="253"/>
        <v>1.63 Hrs</v>
      </c>
    </row>
    <row r="864" spans="3:21" s="185" customFormat="1" ht="20.25" customHeight="1">
      <c r="C864" s="198"/>
      <c r="D864" s="203">
        <f t="shared" si="235"/>
        <v>864</v>
      </c>
      <c r="E864" s="207" t="s">
        <v>278</v>
      </c>
      <c r="F864" s="211">
        <f t="shared" si="250"/>
        <v>863</v>
      </c>
      <c r="G864" s="206" t="s">
        <v>52</v>
      </c>
      <c r="H864" s="206"/>
      <c r="I864" s="233">
        <f>I863</f>
        <v>18</v>
      </c>
      <c r="J864" s="234" t="s">
        <v>281</v>
      </c>
      <c r="K864" s="234">
        <v>1</v>
      </c>
      <c r="L864" s="208" t="s">
        <v>81</v>
      </c>
      <c r="M864" s="227">
        <f t="shared" si="254"/>
        <v>0</v>
      </c>
      <c r="N864" s="208" t="s">
        <v>139</v>
      </c>
      <c r="O864" s="246">
        <f>VLOOKUP(I864,BM!$A$2:$X$104,5,FALSE)</f>
        <v>0.5</v>
      </c>
      <c r="P864" s="208" t="s">
        <v>112</v>
      </c>
      <c r="Q864" s="240">
        <f t="shared" si="251"/>
        <v>0</v>
      </c>
      <c r="R864" s="239"/>
      <c r="S864" s="240"/>
      <c r="T864" s="216" t="s">
        <v>48</v>
      </c>
      <c r="U864" s="196"/>
    </row>
    <row r="865" spans="3:21" s="185" customFormat="1" ht="20.25" customHeight="1">
      <c r="C865" s="198">
        <f>D865</f>
        <v>865</v>
      </c>
      <c r="D865" s="203">
        <f t="shared" si="235"/>
        <v>865</v>
      </c>
      <c r="E865" s="204" t="s">
        <v>282</v>
      </c>
      <c r="F865" s="210">
        <f>D860</f>
        <v>860</v>
      </c>
      <c r="G865" s="206"/>
      <c r="H865" s="206"/>
      <c r="I865" s="208"/>
      <c r="J865" s="208"/>
      <c r="K865" s="234"/>
      <c r="L865" s="208"/>
      <c r="M865" s="217"/>
      <c r="N865" s="208"/>
      <c r="O865" s="218"/>
      <c r="P865" s="208"/>
      <c r="Q865" s="240"/>
      <c r="R865" s="239"/>
      <c r="S865" s="240"/>
      <c r="T865" s="216"/>
      <c r="U865" s="196"/>
    </row>
    <row r="866" spans="3:21" s="185" customFormat="1" ht="20.25" customHeight="1">
      <c r="C866" s="198"/>
      <c r="D866" s="203">
        <f t="shared" si="235"/>
        <v>866</v>
      </c>
      <c r="E866" s="207" t="s">
        <v>283</v>
      </c>
      <c r="F866" s="211"/>
      <c r="G866" s="206" t="s">
        <v>121</v>
      </c>
      <c r="H866" s="206"/>
      <c r="I866" s="233">
        <f>I864</f>
        <v>18</v>
      </c>
      <c r="J866" s="211" t="str">
        <f t="shared" ref="J866:K869" si="255">J861</f>
        <v>2500 mm</v>
      </c>
      <c r="K866" s="225">
        <f t="shared" si="255"/>
        <v>1</v>
      </c>
      <c r="L866" s="208" t="s">
        <v>81</v>
      </c>
      <c r="M866" s="227">
        <f t="shared" ref="M866:M869" si="256">LEFT(J866,SEARCH(" ",J866,1)-1)*K866*0.001</f>
        <v>2.5</v>
      </c>
      <c r="N866" s="208" t="s">
        <v>139</v>
      </c>
      <c r="O866" s="246">
        <f>VLOOKUP(I866,BM!$A$2:$X$104,6,FALSE)</f>
        <v>1</v>
      </c>
      <c r="P866" s="208" t="s">
        <v>112</v>
      </c>
      <c r="Q866" s="240">
        <f t="shared" ref="Q866:Q869" si="257">M866*O866</f>
        <v>2.5</v>
      </c>
      <c r="R866" s="239">
        <v>1</v>
      </c>
      <c r="S866" s="240">
        <f t="shared" si="252"/>
        <v>3.5</v>
      </c>
      <c r="T866" s="216" t="s">
        <v>48</v>
      </c>
      <c r="U866" s="196" t="str">
        <f t="shared" si="253"/>
        <v>3.5 Hrs</v>
      </c>
    </row>
    <row r="867" spans="3:21" s="185" customFormat="1" ht="20.25" customHeight="1">
      <c r="C867" s="198"/>
      <c r="D867" s="203">
        <f t="shared" si="235"/>
        <v>867</v>
      </c>
      <c r="E867" s="207" t="s">
        <v>283</v>
      </c>
      <c r="F867" s="211">
        <f t="shared" ref="F867:F869" si="258">D866</f>
        <v>866</v>
      </c>
      <c r="G867" s="206" t="s">
        <v>121</v>
      </c>
      <c r="H867" s="206"/>
      <c r="I867" s="233">
        <f>I864</f>
        <v>18</v>
      </c>
      <c r="J867" s="211" t="str">
        <f t="shared" si="255"/>
        <v>2500 mm</v>
      </c>
      <c r="K867" s="225">
        <f t="shared" si="255"/>
        <v>1</v>
      </c>
      <c r="L867" s="208" t="s">
        <v>81</v>
      </c>
      <c r="M867" s="227">
        <f t="shared" si="256"/>
        <v>2.5</v>
      </c>
      <c r="N867" s="208" t="s">
        <v>139</v>
      </c>
      <c r="O867" s="246">
        <f>VLOOKUP(I867,BM!$A$2:$X$104,6,FALSE)</f>
        <v>1</v>
      </c>
      <c r="P867" s="208" t="s">
        <v>112</v>
      </c>
      <c r="Q867" s="240">
        <f t="shared" si="257"/>
        <v>2.5</v>
      </c>
      <c r="R867" s="239">
        <v>1</v>
      </c>
      <c r="S867" s="240">
        <f t="shared" si="252"/>
        <v>3.5</v>
      </c>
      <c r="T867" s="216" t="s">
        <v>48</v>
      </c>
      <c r="U867" s="196" t="str">
        <f t="shared" si="253"/>
        <v>3.5 Hrs</v>
      </c>
    </row>
    <row r="868" spans="3:21" s="185" customFormat="1" ht="20.25" customHeight="1">
      <c r="C868" s="198"/>
      <c r="D868" s="203">
        <f t="shared" si="235"/>
        <v>868</v>
      </c>
      <c r="E868" s="207" t="s">
        <v>283</v>
      </c>
      <c r="F868" s="211">
        <f t="shared" si="258"/>
        <v>867</v>
      </c>
      <c r="G868" s="206" t="s">
        <v>121</v>
      </c>
      <c r="H868" s="206"/>
      <c r="I868" s="233">
        <f>I864</f>
        <v>18</v>
      </c>
      <c r="J868" s="211" t="str">
        <f t="shared" si="255"/>
        <v>1250 mm</v>
      </c>
      <c r="K868" s="225">
        <f t="shared" si="255"/>
        <v>1</v>
      </c>
      <c r="L868" s="208" t="s">
        <v>81</v>
      </c>
      <c r="M868" s="227">
        <f t="shared" si="256"/>
        <v>1.25</v>
      </c>
      <c r="N868" s="208" t="s">
        <v>139</v>
      </c>
      <c r="O868" s="246">
        <f>VLOOKUP(I868,BM!$A$2:$X$104,6,FALSE)</f>
        <v>1</v>
      </c>
      <c r="P868" s="208" t="s">
        <v>112</v>
      </c>
      <c r="Q868" s="240">
        <f t="shared" si="257"/>
        <v>1.25</v>
      </c>
      <c r="R868" s="239">
        <v>1</v>
      </c>
      <c r="S868" s="240">
        <f t="shared" si="252"/>
        <v>2.25</v>
      </c>
      <c r="T868" s="216" t="s">
        <v>48</v>
      </c>
      <c r="U868" s="196" t="str">
        <f t="shared" si="253"/>
        <v>2.25 Hrs</v>
      </c>
    </row>
    <row r="869" spans="3:21" s="185" customFormat="1" ht="20.25" customHeight="1">
      <c r="C869" s="198"/>
      <c r="D869" s="203">
        <f t="shared" si="235"/>
        <v>869</v>
      </c>
      <c r="E869" s="207" t="s">
        <v>283</v>
      </c>
      <c r="F869" s="211">
        <f t="shared" si="258"/>
        <v>868</v>
      </c>
      <c r="G869" s="206" t="s">
        <v>121</v>
      </c>
      <c r="H869" s="206"/>
      <c r="I869" s="233">
        <f>I864</f>
        <v>18</v>
      </c>
      <c r="J869" s="211" t="str">
        <f t="shared" si="255"/>
        <v>0 mm</v>
      </c>
      <c r="K869" s="225">
        <f t="shared" si="255"/>
        <v>1</v>
      </c>
      <c r="L869" s="208" t="s">
        <v>81</v>
      </c>
      <c r="M869" s="227">
        <f t="shared" si="256"/>
        <v>0</v>
      </c>
      <c r="N869" s="208" t="s">
        <v>139</v>
      </c>
      <c r="O869" s="246">
        <f>VLOOKUP(I869,BM!$A$2:$X$104,6,FALSE)</f>
        <v>1</v>
      </c>
      <c r="P869" s="208" t="s">
        <v>112</v>
      </c>
      <c r="Q869" s="240">
        <f t="shared" si="257"/>
        <v>0</v>
      </c>
      <c r="R869" s="239">
        <v>1</v>
      </c>
      <c r="S869" s="240">
        <f t="shared" si="252"/>
        <v>1</v>
      </c>
      <c r="T869" s="216" t="s">
        <v>48</v>
      </c>
      <c r="U869" s="196" t="str">
        <f t="shared" si="253"/>
        <v>1 Hrs</v>
      </c>
    </row>
    <row r="870" spans="3:21" s="185" customFormat="1" ht="20.25" customHeight="1">
      <c r="C870" s="198">
        <f>D870</f>
        <v>870</v>
      </c>
      <c r="D870" s="203">
        <f t="shared" si="235"/>
        <v>870</v>
      </c>
      <c r="E870" s="204" t="s">
        <v>284</v>
      </c>
      <c r="F870" s="210">
        <f>D865</f>
        <v>865</v>
      </c>
      <c r="G870" s="206"/>
      <c r="H870" s="206"/>
      <c r="I870" s="208"/>
      <c r="J870" s="208"/>
      <c r="K870" s="234"/>
      <c r="L870" s="208"/>
      <c r="M870" s="217"/>
      <c r="N870" s="208"/>
      <c r="O870" s="218"/>
      <c r="P870" s="208"/>
      <c r="Q870" s="240"/>
      <c r="R870" s="239"/>
      <c r="S870" s="240"/>
      <c r="T870" s="216"/>
      <c r="U870" s="196"/>
    </row>
    <row r="871" spans="3:21" s="185" customFormat="1" ht="20.25" customHeight="1">
      <c r="C871" s="198"/>
      <c r="D871" s="203">
        <f t="shared" si="235"/>
        <v>871</v>
      </c>
      <c r="E871" s="207" t="s">
        <v>285</v>
      </c>
      <c r="F871" s="211"/>
      <c r="G871" s="206" t="s">
        <v>286</v>
      </c>
      <c r="H871" s="206"/>
      <c r="I871" s="233">
        <f>I869</f>
        <v>18</v>
      </c>
      <c r="J871" s="211" t="str">
        <f t="shared" ref="J871:K874" si="259">J866</f>
        <v>2500 mm</v>
      </c>
      <c r="K871" s="225">
        <f t="shared" si="259"/>
        <v>1</v>
      </c>
      <c r="L871" s="208" t="s">
        <v>81</v>
      </c>
      <c r="M871" s="227">
        <v>1</v>
      </c>
      <c r="N871" s="208" t="s">
        <v>39</v>
      </c>
      <c r="O871" s="218">
        <v>3</v>
      </c>
      <c r="P871" s="208" t="s">
        <v>112</v>
      </c>
      <c r="Q871" s="240">
        <f t="shared" ref="Q871:Q874" si="260">M871*O871</f>
        <v>3</v>
      </c>
      <c r="R871" s="239">
        <v>1</v>
      </c>
      <c r="S871" s="240">
        <f t="shared" si="252"/>
        <v>4</v>
      </c>
      <c r="T871" s="216" t="s">
        <v>48</v>
      </c>
      <c r="U871" s="196" t="str">
        <f t="shared" si="253"/>
        <v>4 Hrs</v>
      </c>
    </row>
    <row r="872" spans="3:21" s="185" customFormat="1" ht="20.25" customHeight="1">
      <c r="C872" s="198"/>
      <c r="D872" s="203">
        <f t="shared" si="235"/>
        <v>872</v>
      </c>
      <c r="E872" s="207" t="s">
        <v>285</v>
      </c>
      <c r="F872" s="211">
        <f t="shared" ref="F872:F874" si="261">D871</f>
        <v>871</v>
      </c>
      <c r="G872" s="206" t="s">
        <v>286</v>
      </c>
      <c r="H872" s="206"/>
      <c r="I872" s="233">
        <f>I869</f>
        <v>18</v>
      </c>
      <c r="J872" s="211" t="str">
        <f t="shared" si="259"/>
        <v>2500 mm</v>
      </c>
      <c r="K872" s="225">
        <f t="shared" si="259"/>
        <v>1</v>
      </c>
      <c r="L872" s="208" t="s">
        <v>81</v>
      </c>
      <c r="M872" s="227">
        <v>1</v>
      </c>
      <c r="N872" s="208" t="str">
        <f>N871</f>
        <v>No</v>
      </c>
      <c r="O872" s="246">
        <v>3</v>
      </c>
      <c r="P872" s="208" t="s">
        <v>112</v>
      </c>
      <c r="Q872" s="240">
        <f t="shared" si="260"/>
        <v>3</v>
      </c>
      <c r="R872" s="239">
        <v>1</v>
      </c>
      <c r="S872" s="240">
        <f t="shared" si="252"/>
        <v>4</v>
      </c>
      <c r="T872" s="216" t="s">
        <v>48</v>
      </c>
      <c r="U872" s="196" t="str">
        <f t="shared" si="253"/>
        <v>4 Hrs</v>
      </c>
    </row>
    <row r="873" spans="3:21" s="185" customFormat="1" ht="20.25" customHeight="1">
      <c r="C873" s="198"/>
      <c r="D873" s="203">
        <f t="shared" si="235"/>
        <v>873</v>
      </c>
      <c r="E873" s="207" t="s">
        <v>285</v>
      </c>
      <c r="F873" s="211">
        <f t="shared" si="261"/>
        <v>872</v>
      </c>
      <c r="G873" s="206" t="s">
        <v>286</v>
      </c>
      <c r="H873" s="206"/>
      <c r="I873" s="233">
        <f>I869</f>
        <v>18</v>
      </c>
      <c r="J873" s="211" t="str">
        <f t="shared" si="259"/>
        <v>1250 mm</v>
      </c>
      <c r="K873" s="225">
        <f t="shared" si="259"/>
        <v>1</v>
      </c>
      <c r="L873" s="208" t="s">
        <v>81</v>
      </c>
      <c r="M873" s="227">
        <v>1</v>
      </c>
      <c r="N873" s="208" t="str">
        <f>N872</f>
        <v>No</v>
      </c>
      <c r="O873" s="246">
        <v>3</v>
      </c>
      <c r="P873" s="208" t="s">
        <v>112</v>
      </c>
      <c r="Q873" s="240">
        <f t="shared" si="260"/>
        <v>3</v>
      </c>
      <c r="R873" s="239">
        <v>1</v>
      </c>
      <c r="S873" s="240">
        <f t="shared" si="252"/>
        <v>4</v>
      </c>
      <c r="T873" s="216" t="s">
        <v>48</v>
      </c>
      <c r="U873" s="196" t="str">
        <f t="shared" si="253"/>
        <v>4 Hrs</v>
      </c>
    </row>
    <row r="874" spans="3:21" s="185" customFormat="1" ht="20.25" customHeight="1">
      <c r="C874" s="198"/>
      <c r="D874" s="203">
        <f t="shared" si="235"/>
        <v>874</v>
      </c>
      <c r="E874" s="207" t="s">
        <v>285</v>
      </c>
      <c r="F874" s="211">
        <f t="shared" si="261"/>
        <v>873</v>
      </c>
      <c r="G874" s="206" t="s">
        <v>286</v>
      </c>
      <c r="H874" s="206"/>
      <c r="I874" s="233">
        <f>I869</f>
        <v>18</v>
      </c>
      <c r="J874" s="211" t="str">
        <f t="shared" si="259"/>
        <v>0 mm</v>
      </c>
      <c r="K874" s="225">
        <v>0</v>
      </c>
      <c r="L874" s="208" t="s">
        <v>81</v>
      </c>
      <c r="M874" s="227">
        <v>0</v>
      </c>
      <c r="N874" s="208" t="str">
        <f>N873</f>
        <v>No</v>
      </c>
      <c r="O874" s="246">
        <v>0</v>
      </c>
      <c r="P874" s="208" t="s">
        <v>112</v>
      </c>
      <c r="Q874" s="240">
        <f t="shared" si="260"/>
        <v>0</v>
      </c>
      <c r="R874" s="239"/>
      <c r="S874" s="240"/>
      <c r="T874" s="216" t="s">
        <v>48</v>
      </c>
      <c r="U874" s="196"/>
    </row>
    <row r="875" spans="3:21" s="185" customFormat="1" ht="20.25" customHeight="1">
      <c r="C875" s="198">
        <f>D875</f>
        <v>875</v>
      </c>
      <c r="D875" s="203">
        <f t="shared" si="235"/>
        <v>875</v>
      </c>
      <c r="E875" s="204" t="s">
        <v>287</v>
      </c>
      <c r="F875" s="210">
        <f>D870</f>
        <v>870</v>
      </c>
      <c r="G875" s="206"/>
      <c r="H875" s="206"/>
      <c r="I875" s="208"/>
      <c r="J875" s="208"/>
      <c r="K875" s="234"/>
      <c r="L875" s="208"/>
      <c r="M875" s="217"/>
      <c r="N875" s="208"/>
      <c r="O875" s="218"/>
      <c r="P875" s="208"/>
      <c r="Q875" s="240"/>
      <c r="R875" s="239"/>
      <c r="S875" s="240"/>
      <c r="T875" s="216"/>
      <c r="U875" s="196"/>
    </row>
    <row r="876" spans="3:21" s="185" customFormat="1" ht="20.25" customHeight="1">
      <c r="C876" s="198"/>
      <c r="D876" s="203">
        <f t="shared" si="235"/>
        <v>876</v>
      </c>
      <c r="E876" s="207" t="s">
        <v>288</v>
      </c>
      <c r="F876" s="211"/>
      <c r="G876" s="206" t="s">
        <v>289</v>
      </c>
      <c r="H876" s="206"/>
      <c r="I876" s="233">
        <f>I874</f>
        <v>18</v>
      </c>
      <c r="J876" s="211" t="str">
        <f>J871</f>
        <v>2500 mm</v>
      </c>
      <c r="K876" s="234">
        <v>1</v>
      </c>
      <c r="L876" s="208" t="s">
        <v>81</v>
      </c>
      <c r="M876" s="235">
        <v>1</v>
      </c>
      <c r="N876" s="208" t="s">
        <v>81</v>
      </c>
      <c r="O876" s="246">
        <f>VLOOKUP(I876,BM!$A$2:$X$104,8,FALSE)</f>
        <v>0.3</v>
      </c>
      <c r="P876" s="208" t="s">
        <v>112</v>
      </c>
      <c r="Q876" s="240">
        <f t="shared" ref="Q876:Q879" si="262">M876*O876</f>
        <v>0.3</v>
      </c>
      <c r="R876" s="239">
        <v>1</v>
      </c>
      <c r="S876" s="240">
        <f t="shared" si="252"/>
        <v>1.3</v>
      </c>
      <c r="T876" s="216" t="s">
        <v>48</v>
      </c>
      <c r="U876" s="196" t="str">
        <f t="shared" si="253"/>
        <v>1.3 Hrs</v>
      </c>
    </row>
    <row r="877" spans="3:21" s="185" customFormat="1" ht="20.25" customHeight="1">
      <c r="C877" s="198"/>
      <c r="D877" s="203">
        <f t="shared" si="235"/>
        <v>877</v>
      </c>
      <c r="E877" s="207" t="s">
        <v>288</v>
      </c>
      <c r="F877" s="211">
        <f t="shared" ref="F877:F879" si="263">D876</f>
        <v>876</v>
      </c>
      <c r="G877" s="206" t="s">
        <v>289</v>
      </c>
      <c r="H877" s="206"/>
      <c r="I877" s="233">
        <f>I874</f>
        <v>18</v>
      </c>
      <c r="J877" s="211" t="str">
        <f>J872</f>
        <v>2500 mm</v>
      </c>
      <c r="K877" s="234">
        <v>1</v>
      </c>
      <c r="L877" s="208" t="s">
        <v>81</v>
      </c>
      <c r="M877" s="235">
        <v>1</v>
      </c>
      <c r="N877" s="208" t="s">
        <v>81</v>
      </c>
      <c r="O877" s="246">
        <f>VLOOKUP(I877,BM!$A$2:$X$104,8,FALSE)</f>
        <v>0.3</v>
      </c>
      <c r="P877" s="208" t="s">
        <v>112</v>
      </c>
      <c r="Q877" s="240">
        <f t="shared" si="262"/>
        <v>0.3</v>
      </c>
      <c r="R877" s="239">
        <v>1</v>
      </c>
      <c r="S877" s="240">
        <f t="shared" si="252"/>
        <v>1.3</v>
      </c>
      <c r="T877" s="216" t="s">
        <v>48</v>
      </c>
      <c r="U877" s="196" t="str">
        <f t="shared" si="253"/>
        <v>1.3 Hrs</v>
      </c>
    </row>
    <row r="878" spans="3:21" s="185" customFormat="1" ht="20.25" customHeight="1">
      <c r="C878" s="198"/>
      <c r="D878" s="203">
        <f t="shared" si="235"/>
        <v>878</v>
      </c>
      <c r="E878" s="207" t="s">
        <v>288</v>
      </c>
      <c r="F878" s="211">
        <f t="shared" si="263"/>
        <v>877</v>
      </c>
      <c r="G878" s="206" t="s">
        <v>289</v>
      </c>
      <c r="H878" s="206"/>
      <c r="I878" s="233">
        <f>I874</f>
        <v>18</v>
      </c>
      <c r="J878" s="211" t="str">
        <f>J873</f>
        <v>1250 mm</v>
      </c>
      <c r="K878" s="234">
        <v>1</v>
      </c>
      <c r="L878" s="208" t="s">
        <v>81</v>
      </c>
      <c r="M878" s="235">
        <v>1</v>
      </c>
      <c r="N878" s="208" t="s">
        <v>81</v>
      </c>
      <c r="O878" s="246">
        <f>VLOOKUP(I878,BM!$A$2:$X$104,8,FALSE)</f>
        <v>0.3</v>
      </c>
      <c r="P878" s="208" t="s">
        <v>112</v>
      </c>
      <c r="Q878" s="240">
        <f t="shared" si="262"/>
        <v>0.3</v>
      </c>
      <c r="R878" s="239">
        <v>1</v>
      </c>
      <c r="S878" s="240">
        <f t="shared" si="252"/>
        <v>1.3</v>
      </c>
      <c r="T878" s="216" t="s">
        <v>48</v>
      </c>
      <c r="U878" s="196" t="str">
        <f t="shared" si="253"/>
        <v>1.3 Hrs</v>
      </c>
    </row>
    <row r="879" spans="3:21" s="185" customFormat="1" ht="20.25" customHeight="1">
      <c r="C879" s="198"/>
      <c r="D879" s="203">
        <f t="shared" si="235"/>
        <v>879</v>
      </c>
      <c r="E879" s="207" t="s">
        <v>288</v>
      </c>
      <c r="F879" s="211">
        <f t="shared" si="263"/>
        <v>878</v>
      </c>
      <c r="G879" s="206" t="s">
        <v>289</v>
      </c>
      <c r="H879" s="206"/>
      <c r="I879" s="233">
        <f>I874</f>
        <v>18</v>
      </c>
      <c r="J879" s="211" t="str">
        <f>J874</f>
        <v>0 mm</v>
      </c>
      <c r="K879" s="234">
        <v>1</v>
      </c>
      <c r="L879" s="208" t="s">
        <v>81</v>
      </c>
      <c r="M879" s="235">
        <v>0</v>
      </c>
      <c r="N879" s="208" t="s">
        <v>81</v>
      </c>
      <c r="O879" s="246">
        <f>VLOOKUP(I879,BM!$A$2:$X$104,8,FALSE)</f>
        <v>0.3</v>
      </c>
      <c r="P879" s="208" t="s">
        <v>112</v>
      </c>
      <c r="Q879" s="240">
        <f t="shared" si="262"/>
        <v>0</v>
      </c>
      <c r="R879" s="239">
        <v>1</v>
      </c>
      <c r="S879" s="240">
        <f t="shared" si="252"/>
        <v>1</v>
      </c>
      <c r="T879" s="216" t="s">
        <v>48</v>
      </c>
      <c r="U879" s="196" t="str">
        <f t="shared" si="253"/>
        <v>1 Hrs</v>
      </c>
    </row>
    <row r="880" spans="3:21" s="185" customFormat="1" ht="20.25" customHeight="1">
      <c r="C880" s="198">
        <f>D880</f>
        <v>880</v>
      </c>
      <c r="D880" s="203">
        <f t="shared" si="235"/>
        <v>880</v>
      </c>
      <c r="E880" s="204" t="s">
        <v>290</v>
      </c>
      <c r="F880" s="210">
        <f>D875</f>
        <v>875</v>
      </c>
      <c r="G880" s="206"/>
      <c r="H880" s="206"/>
      <c r="I880" s="208"/>
      <c r="J880" s="208"/>
      <c r="K880" s="234"/>
      <c r="L880" s="208"/>
      <c r="M880" s="217"/>
      <c r="N880" s="208"/>
      <c r="O880" s="218"/>
      <c r="P880" s="208"/>
      <c r="Q880" s="240"/>
      <c r="R880" s="239"/>
      <c r="S880" s="240"/>
      <c r="T880" s="216"/>
      <c r="U880" s="196"/>
    </row>
    <row r="881" spans="3:21" s="185" customFormat="1" ht="20.25" customHeight="1">
      <c r="C881" s="198"/>
      <c r="D881" s="203">
        <f t="shared" si="235"/>
        <v>881</v>
      </c>
      <c r="E881" s="207" t="s">
        <v>291</v>
      </c>
      <c r="F881" s="211"/>
      <c r="G881" s="206" t="s">
        <v>44</v>
      </c>
      <c r="H881" s="206"/>
      <c r="I881" s="233">
        <f>I879</f>
        <v>18</v>
      </c>
      <c r="J881" s="211" t="str">
        <f>J876</f>
        <v>2500 mm</v>
      </c>
      <c r="K881" s="234">
        <v>1</v>
      </c>
      <c r="L881" s="208" t="s">
        <v>81</v>
      </c>
      <c r="M881" s="227">
        <f t="shared" ref="M881:M884" si="264">LEFT(J881,SEARCH(" ",J881,1)-1)*K881*0.001</f>
        <v>2.5</v>
      </c>
      <c r="N881" s="208" t="s">
        <v>139</v>
      </c>
      <c r="O881" s="246">
        <f>VLOOKUP(I881,BM!$A$2:$X$104,9,FALSE)</f>
        <v>1</v>
      </c>
      <c r="P881" s="208" t="s">
        <v>112</v>
      </c>
      <c r="Q881" s="240">
        <f t="shared" ref="Q881:Q884" si="265">M881*O881</f>
        <v>2.5</v>
      </c>
      <c r="R881" s="239">
        <v>1</v>
      </c>
      <c r="S881" s="240">
        <f t="shared" si="252"/>
        <v>3.5</v>
      </c>
      <c r="T881" s="216" t="s">
        <v>48</v>
      </c>
      <c r="U881" s="196" t="str">
        <f t="shared" si="253"/>
        <v>3.5 Hrs</v>
      </c>
    </row>
    <row r="882" spans="3:21" s="185" customFormat="1" ht="20.25" customHeight="1">
      <c r="C882" s="198"/>
      <c r="D882" s="203">
        <f t="shared" si="235"/>
        <v>882</v>
      </c>
      <c r="E882" s="207" t="s">
        <v>291</v>
      </c>
      <c r="F882" s="211">
        <f t="shared" ref="F882:F884" si="266">D881</f>
        <v>881</v>
      </c>
      <c r="G882" s="206" t="s">
        <v>44</v>
      </c>
      <c r="H882" s="206"/>
      <c r="I882" s="233">
        <f>I879</f>
        <v>18</v>
      </c>
      <c r="J882" s="211" t="str">
        <f>J877</f>
        <v>2500 mm</v>
      </c>
      <c r="K882" s="234">
        <v>1</v>
      </c>
      <c r="L882" s="208" t="s">
        <v>81</v>
      </c>
      <c r="M882" s="227">
        <f t="shared" si="264"/>
        <v>2.5</v>
      </c>
      <c r="N882" s="208" t="s">
        <v>139</v>
      </c>
      <c r="O882" s="246">
        <f>VLOOKUP(I882,BM!$A$2:$X$104,9,FALSE)</f>
        <v>1</v>
      </c>
      <c r="P882" s="208" t="s">
        <v>112</v>
      </c>
      <c r="Q882" s="240">
        <f t="shared" si="265"/>
        <v>2.5</v>
      </c>
      <c r="R882" s="239">
        <v>1</v>
      </c>
      <c r="S882" s="240">
        <f t="shared" si="252"/>
        <v>3.5</v>
      </c>
      <c r="T882" s="216" t="s">
        <v>48</v>
      </c>
      <c r="U882" s="196" t="str">
        <f t="shared" si="253"/>
        <v>3.5 Hrs</v>
      </c>
    </row>
    <row r="883" spans="3:21" s="185" customFormat="1" ht="20.25" customHeight="1">
      <c r="C883" s="198"/>
      <c r="D883" s="203">
        <f t="shared" si="235"/>
        <v>883</v>
      </c>
      <c r="E883" s="207" t="s">
        <v>291</v>
      </c>
      <c r="F883" s="211">
        <f t="shared" si="266"/>
        <v>882</v>
      </c>
      <c r="G883" s="206" t="s">
        <v>44</v>
      </c>
      <c r="H883" s="206"/>
      <c r="I883" s="233">
        <f>I879</f>
        <v>18</v>
      </c>
      <c r="J883" s="211" t="str">
        <f>J878</f>
        <v>1250 mm</v>
      </c>
      <c r="K883" s="234">
        <v>1</v>
      </c>
      <c r="L883" s="208" t="s">
        <v>81</v>
      </c>
      <c r="M883" s="227">
        <f t="shared" si="264"/>
        <v>1.25</v>
      </c>
      <c r="N883" s="208" t="s">
        <v>139</v>
      </c>
      <c r="O883" s="246">
        <f>VLOOKUP(I883,BM!$A$2:$X$104,9,FALSE)</f>
        <v>1</v>
      </c>
      <c r="P883" s="208" t="s">
        <v>112</v>
      </c>
      <c r="Q883" s="240">
        <f t="shared" si="265"/>
        <v>1.25</v>
      </c>
      <c r="R883" s="239">
        <v>1</v>
      </c>
      <c r="S883" s="240">
        <f t="shared" si="252"/>
        <v>2.25</v>
      </c>
      <c r="T883" s="216" t="s">
        <v>48</v>
      </c>
      <c r="U883" s="196" t="str">
        <f t="shared" si="253"/>
        <v>2.25 Hrs</v>
      </c>
    </row>
    <row r="884" spans="3:21" s="185" customFormat="1" ht="20.25" customHeight="1">
      <c r="C884" s="198"/>
      <c r="D884" s="203">
        <f t="shared" si="235"/>
        <v>884</v>
      </c>
      <c r="E884" s="207" t="s">
        <v>291</v>
      </c>
      <c r="F884" s="211">
        <f t="shared" si="266"/>
        <v>883</v>
      </c>
      <c r="G884" s="206" t="s">
        <v>44</v>
      </c>
      <c r="H884" s="206"/>
      <c r="I884" s="233">
        <f>I879</f>
        <v>18</v>
      </c>
      <c r="J884" s="211" t="str">
        <f>J879</f>
        <v>0 mm</v>
      </c>
      <c r="K884" s="234">
        <v>1</v>
      </c>
      <c r="L884" s="208" t="s">
        <v>81</v>
      </c>
      <c r="M884" s="227">
        <f t="shared" si="264"/>
        <v>0</v>
      </c>
      <c r="N884" s="208" t="s">
        <v>139</v>
      </c>
      <c r="O884" s="246">
        <f>VLOOKUP(I884,BM!$A$2:$X$104,9,FALSE)</f>
        <v>1</v>
      </c>
      <c r="P884" s="208" t="s">
        <v>112</v>
      </c>
      <c r="Q884" s="240">
        <f t="shared" si="265"/>
        <v>0</v>
      </c>
      <c r="R884" s="239">
        <v>1</v>
      </c>
      <c r="S884" s="240">
        <f t="shared" si="252"/>
        <v>1</v>
      </c>
      <c r="T884" s="216" t="s">
        <v>48</v>
      </c>
      <c r="U884" s="196" t="str">
        <f t="shared" si="253"/>
        <v>1 Hrs</v>
      </c>
    </row>
    <row r="885" spans="3:21" s="185" customFormat="1" ht="20.25" customHeight="1">
      <c r="C885" s="198">
        <f>D885</f>
        <v>885</v>
      </c>
      <c r="D885" s="203">
        <f t="shared" si="235"/>
        <v>885</v>
      </c>
      <c r="E885" s="204" t="s">
        <v>292</v>
      </c>
      <c r="F885" s="210">
        <f>D880</f>
        <v>880</v>
      </c>
      <c r="G885" s="206"/>
      <c r="H885" s="206"/>
      <c r="I885" s="208"/>
      <c r="J885" s="208"/>
      <c r="K885" s="234"/>
      <c r="L885" s="208"/>
      <c r="M885" s="217"/>
      <c r="N885" s="208"/>
      <c r="O885" s="218"/>
      <c r="P885" s="208"/>
      <c r="Q885" s="240"/>
      <c r="R885" s="239"/>
      <c r="S885" s="240"/>
      <c r="T885" s="216"/>
      <c r="U885" s="196"/>
    </row>
    <row r="886" spans="3:21" s="185" customFormat="1" ht="20.25" customHeight="1">
      <c r="C886" s="198"/>
      <c r="D886" s="203">
        <f t="shared" si="235"/>
        <v>886</v>
      </c>
      <c r="E886" s="207" t="s">
        <v>293</v>
      </c>
      <c r="F886" s="211"/>
      <c r="G886" s="206" t="s">
        <v>286</v>
      </c>
      <c r="H886" s="206"/>
      <c r="I886" s="233">
        <f>I884</f>
        <v>18</v>
      </c>
      <c r="J886" s="211" t="str">
        <f>J881</f>
        <v>2500 mm</v>
      </c>
      <c r="K886" s="234">
        <v>1</v>
      </c>
      <c r="L886" s="208" t="s">
        <v>81</v>
      </c>
      <c r="M886" s="235">
        <f>K886</f>
        <v>1</v>
      </c>
      <c r="N886" s="208" t="s">
        <v>39</v>
      </c>
      <c r="O886" s="218">
        <v>3</v>
      </c>
      <c r="P886" s="208" t="s">
        <v>112</v>
      </c>
      <c r="Q886" s="240">
        <f t="shared" ref="Q886:Q899" si="267">M886*O886</f>
        <v>3</v>
      </c>
      <c r="R886" s="239">
        <v>1</v>
      </c>
      <c r="S886" s="240">
        <f t="shared" si="252"/>
        <v>4</v>
      </c>
      <c r="T886" s="216" t="s">
        <v>48</v>
      </c>
      <c r="U886" s="196" t="str">
        <f t="shared" si="253"/>
        <v>4 Hrs</v>
      </c>
    </row>
    <row r="887" spans="3:21" s="185" customFormat="1" ht="20.25" customHeight="1">
      <c r="C887" s="198"/>
      <c r="D887" s="203">
        <f t="shared" si="235"/>
        <v>887</v>
      </c>
      <c r="E887" s="207" t="s">
        <v>294</v>
      </c>
      <c r="F887" s="211">
        <f t="shared" ref="F887:F889" si="268">D886</f>
        <v>886</v>
      </c>
      <c r="G887" s="206" t="s">
        <v>286</v>
      </c>
      <c r="H887" s="206"/>
      <c r="I887" s="233">
        <f>I884</f>
        <v>18</v>
      </c>
      <c r="J887" s="211" t="str">
        <f>J882</f>
        <v>2500 mm</v>
      </c>
      <c r="K887" s="234">
        <v>1</v>
      </c>
      <c r="L887" s="208" t="s">
        <v>81</v>
      </c>
      <c r="M887" s="235">
        <f>K887</f>
        <v>1</v>
      </c>
      <c r="N887" s="208" t="s">
        <v>39</v>
      </c>
      <c r="O887" s="246">
        <f>O886</f>
        <v>3</v>
      </c>
      <c r="P887" s="208" t="s">
        <v>112</v>
      </c>
      <c r="Q887" s="240">
        <f t="shared" si="267"/>
        <v>3</v>
      </c>
      <c r="R887" s="239">
        <v>1</v>
      </c>
      <c r="S887" s="240">
        <f t="shared" si="252"/>
        <v>4</v>
      </c>
      <c r="T887" s="216" t="s">
        <v>48</v>
      </c>
      <c r="U887" s="196" t="str">
        <f t="shared" si="253"/>
        <v>4 Hrs</v>
      </c>
    </row>
    <row r="888" spans="3:21" s="185" customFormat="1" ht="20.25" customHeight="1">
      <c r="C888" s="198"/>
      <c r="D888" s="203">
        <f t="shared" si="235"/>
        <v>888</v>
      </c>
      <c r="E888" s="207" t="s">
        <v>294</v>
      </c>
      <c r="F888" s="211">
        <f t="shared" si="268"/>
        <v>887</v>
      </c>
      <c r="G888" s="206" t="s">
        <v>286</v>
      </c>
      <c r="H888" s="206"/>
      <c r="I888" s="233">
        <f>I884</f>
        <v>18</v>
      </c>
      <c r="J888" s="211" t="str">
        <f>J883</f>
        <v>1250 mm</v>
      </c>
      <c r="K888" s="234">
        <v>1</v>
      </c>
      <c r="L888" s="208" t="s">
        <v>81</v>
      </c>
      <c r="M888" s="235">
        <f>K888</f>
        <v>1</v>
      </c>
      <c r="N888" s="208" t="s">
        <v>39</v>
      </c>
      <c r="O888" s="246">
        <f>O887</f>
        <v>3</v>
      </c>
      <c r="P888" s="208" t="s">
        <v>112</v>
      </c>
      <c r="Q888" s="240">
        <f t="shared" si="267"/>
        <v>3</v>
      </c>
      <c r="R888" s="239">
        <v>1</v>
      </c>
      <c r="S888" s="240">
        <f t="shared" si="252"/>
        <v>4</v>
      </c>
      <c r="T888" s="216" t="s">
        <v>48</v>
      </c>
      <c r="U888" s="196" t="str">
        <f t="shared" si="253"/>
        <v>4 Hrs</v>
      </c>
    </row>
    <row r="889" spans="3:21" s="185" customFormat="1" ht="20.25" customHeight="1">
      <c r="C889" s="198"/>
      <c r="D889" s="203">
        <f t="shared" si="235"/>
        <v>889</v>
      </c>
      <c r="E889" s="207" t="s">
        <v>294</v>
      </c>
      <c r="F889" s="211">
        <f t="shared" si="268"/>
        <v>888</v>
      </c>
      <c r="G889" s="206" t="s">
        <v>286</v>
      </c>
      <c r="H889" s="206"/>
      <c r="I889" s="233">
        <f>I884</f>
        <v>18</v>
      </c>
      <c r="J889" s="211" t="str">
        <f>J884</f>
        <v>0 mm</v>
      </c>
      <c r="K889" s="234">
        <v>1</v>
      </c>
      <c r="L889" s="208" t="s">
        <v>81</v>
      </c>
      <c r="M889" s="235">
        <f>K889</f>
        <v>1</v>
      </c>
      <c r="N889" s="208" t="s">
        <v>39</v>
      </c>
      <c r="O889" s="246">
        <f>O888</f>
        <v>3</v>
      </c>
      <c r="P889" s="208" t="s">
        <v>112</v>
      </c>
      <c r="Q889" s="240">
        <f t="shared" si="267"/>
        <v>3</v>
      </c>
      <c r="R889" s="239">
        <v>1</v>
      </c>
      <c r="S889" s="240">
        <f t="shared" si="252"/>
        <v>4</v>
      </c>
      <c r="T889" s="216" t="s">
        <v>48</v>
      </c>
      <c r="U889" s="196" t="str">
        <f t="shared" si="253"/>
        <v>4 Hrs</v>
      </c>
    </row>
    <row r="890" spans="3:21" s="185" customFormat="1" ht="20.25" customHeight="1">
      <c r="C890" s="198">
        <f>D890</f>
        <v>890</v>
      </c>
      <c r="D890" s="203">
        <f t="shared" si="235"/>
        <v>890</v>
      </c>
      <c r="E890" s="204" t="s">
        <v>295</v>
      </c>
      <c r="F890" s="210">
        <f>D885</f>
        <v>885</v>
      </c>
      <c r="G890" s="206"/>
      <c r="H890" s="206"/>
      <c r="I890" s="208"/>
      <c r="J890" s="208"/>
      <c r="K890" s="234"/>
      <c r="L890" s="208"/>
      <c r="M890" s="217"/>
      <c r="N890" s="208"/>
      <c r="O890" s="218"/>
      <c r="P890" s="208"/>
      <c r="Q890" s="240">
        <f t="shared" si="267"/>
        <v>0</v>
      </c>
      <c r="R890" s="239"/>
      <c r="S890" s="240"/>
      <c r="T890" s="216"/>
      <c r="U890" s="196"/>
    </row>
    <row r="891" spans="3:21" s="185" customFormat="1" ht="20.25" customHeight="1">
      <c r="C891" s="198"/>
      <c r="D891" s="203">
        <f t="shared" si="235"/>
        <v>891</v>
      </c>
      <c r="E891" s="207" t="s">
        <v>296</v>
      </c>
      <c r="F891" s="211"/>
      <c r="G891" s="206" t="s">
        <v>201</v>
      </c>
      <c r="H891" s="206"/>
      <c r="I891" s="233">
        <f>I889</f>
        <v>18</v>
      </c>
      <c r="J891" s="211" t="str">
        <f>J886</f>
        <v>2500 mm</v>
      </c>
      <c r="K891" s="234">
        <v>1</v>
      </c>
      <c r="L891" s="208" t="s">
        <v>81</v>
      </c>
      <c r="M891" s="227">
        <f t="shared" ref="M891:M894" si="269">LEFT(J891,SEARCH(" ",J891,1)-1)*K891*0.001</f>
        <v>2.5</v>
      </c>
      <c r="N891" s="208" t="s">
        <v>139</v>
      </c>
      <c r="O891" s="246">
        <f>VLOOKUP(I891,BM!$A$2:$X$104,9,FALSE)</f>
        <v>1</v>
      </c>
      <c r="P891" s="208" t="s">
        <v>112</v>
      </c>
      <c r="Q891" s="240">
        <f t="shared" si="267"/>
        <v>2.5</v>
      </c>
      <c r="R891" s="239">
        <v>1</v>
      </c>
      <c r="S891" s="240">
        <f t="shared" si="252"/>
        <v>3.5</v>
      </c>
      <c r="T891" s="216" t="s">
        <v>48</v>
      </c>
      <c r="U891" s="196" t="str">
        <f t="shared" si="253"/>
        <v>3.5 Hrs</v>
      </c>
    </row>
    <row r="892" spans="3:21" s="185" customFormat="1" ht="20.25" customHeight="1">
      <c r="C892" s="198"/>
      <c r="D892" s="203">
        <f t="shared" si="235"/>
        <v>892</v>
      </c>
      <c r="E892" s="207" t="s">
        <v>296</v>
      </c>
      <c r="F892" s="211">
        <f t="shared" ref="F892:F894" si="270">D891</f>
        <v>891</v>
      </c>
      <c r="G892" s="206" t="s">
        <v>201</v>
      </c>
      <c r="H892" s="206"/>
      <c r="I892" s="233">
        <f>I889</f>
        <v>18</v>
      </c>
      <c r="J892" s="211" t="str">
        <f>J887</f>
        <v>2500 mm</v>
      </c>
      <c r="K892" s="234">
        <v>1</v>
      </c>
      <c r="L892" s="208" t="s">
        <v>81</v>
      </c>
      <c r="M892" s="227">
        <f t="shared" si="269"/>
        <v>2.5</v>
      </c>
      <c r="N892" s="208" t="s">
        <v>139</v>
      </c>
      <c r="O892" s="246">
        <f>VLOOKUP(I892,BM!$A$2:$X$104,9,FALSE)</f>
        <v>1</v>
      </c>
      <c r="P892" s="208" t="s">
        <v>112</v>
      </c>
      <c r="Q892" s="240">
        <f t="shared" si="267"/>
        <v>2.5</v>
      </c>
      <c r="R892" s="239">
        <v>1</v>
      </c>
      <c r="S892" s="240">
        <f t="shared" si="252"/>
        <v>3.5</v>
      </c>
      <c r="T892" s="216" t="s">
        <v>48</v>
      </c>
      <c r="U892" s="196" t="str">
        <f t="shared" si="253"/>
        <v>3.5 Hrs</v>
      </c>
    </row>
    <row r="893" spans="3:21" s="185" customFormat="1" ht="20.25" customHeight="1">
      <c r="C893" s="198"/>
      <c r="D893" s="203">
        <f t="shared" si="235"/>
        <v>893</v>
      </c>
      <c r="E893" s="207" t="s">
        <v>296</v>
      </c>
      <c r="F893" s="211">
        <f t="shared" si="270"/>
        <v>892</v>
      </c>
      <c r="G893" s="206" t="s">
        <v>201</v>
      </c>
      <c r="H893" s="206"/>
      <c r="I893" s="233">
        <f>I889</f>
        <v>18</v>
      </c>
      <c r="J893" s="211" t="str">
        <f>J888</f>
        <v>1250 mm</v>
      </c>
      <c r="K893" s="234">
        <v>1</v>
      </c>
      <c r="L893" s="208" t="s">
        <v>81</v>
      </c>
      <c r="M893" s="227">
        <f t="shared" si="269"/>
        <v>1.25</v>
      </c>
      <c r="N893" s="208" t="s">
        <v>139</v>
      </c>
      <c r="O893" s="246">
        <f>VLOOKUP(I893,BM!$A$2:$X$104,9,FALSE)</f>
        <v>1</v>
      </c>
      <c r="P893" s="208" t="s">
        <v>112</v>
      </c>
      <c r="Q893" s="240">
        <f t="shared" si="267"/>
        <v>1.25</v>
      </c>
      <c r="R893" s="239">
        <v>1</v>
      </c>
      <c r="S893" s="240">
        <f t="shared" si="252"/>
        <v>2.25</v>
      </c>
      <c r="T893" s="216" t="s">
        <v>48</v>
      </c>
      <c r="U893" s="196" t="str">
        <f t="shared" si="253"/>
        <v>2.25 Hrs</v>
      </c>
    </row>
    <row r="894" spans="3:21" s="185" customFormat="1" ht="20.25" customHeight="1">
      <c r="C894" s="198"/>
      <c r="D894" s="203">
        <f t="shared" si="235"/>
        <v>894</v>
      </c>
      <c r="E894" s="207" t="s">
        <v>296</v>
      </c>
      <c r="F894" s="211">
        <f t="shared" si="270"/>
        <v>893</v>
      </c>
      <c r="G894" s="206" t="s">
        <v>201</v>
      </c>
      <c r="H894" s="206"/>
      <c r="I894" s="233">
        <f>I889</f>
        <v>18</v>
      </c>
      <c r="J894" s="211" t="str">
        <f>J889</f>
        <v>0 mm</v>
      </c>
      <c r="K894" s="234">
        <v>1</v>
      </c>
      <c r="L894" s="208" t="s">
        <v>81</v>
      </c>
      <c r="M894" s="227">
        <f t="shared" si="269"/>
        <v>0</v>
      </c>
      <c r="N894" s="208" t="s">
        <v>139</v>
      </c>
      <c r="O894" s="246">
        <f>VLOOKUP(I894,BM!$A$2:$X$104,9,FALSE)</f>
        <v>1</v>
      </c>
      <c r="P894" s="208" t="s">
        <v>112</v>
      </c>
      <c r="Q894" s="240">
        <f t="shared" si="267"/>
        <v>0</v>
      </c>
      <c r="R894" s="239">
        <v>1</v>
      </c>
      <c r="S894" s="240">
        <f t="shared" si="252"/>
        <v>1</v>
      </c>
      <c r="T894" s="216" t="s">
        <v>48</v>
      </c>
      <c r="U894" s="196" t="str">
        <f t="shared" si="253"/>
        <v>1 Hrs</v>
      </c>
    </row>
    <row r="895" spans="3:21" s="185" customFormat="1" ht="20.25" customHeight="1">
      <c r="C895" s="198">
        <f>D895</f>
        <v>895</v>
      </c>
      <c r="D895" s="203">
        <f t="shared" si="235"/>
        <v>895</v>
      </c>
      <c r="E895" s="204" t="s">
        <v>297</v>
      </c>
      <c r="F895" s="210">
        <f>D890</f>
        <v>890</v>
      </c>
      <c r="G895" s="206"/>
      <c r="H895" s="206"/>
      <c r="I895" s="208"/>
      <c r="J895" s="208"/>
      <c r="K895" s="234"/>
      <c r="L895" s="208"/>
      <c r="M895" s="217"/>
      <c r="N895" s="208"/>
      <c r="O895" s="218"/>
      <c r="P895" s="208"/>
      <c r="Q895" s="240">
        <f t="shared" si="267"/>
        <v>0</v>
      </c>
      <c r="R895" s="239"/>
      <c r="S895" s="240"/>
      <c r="T895" s="216"/>
      <c r="U895" s="196"/>
    </row>
    <row r="896" spans="3:21" s="185" customFormat="1" ht="20.25" customHeight="1">
      <c r="C896" s="198"/>
      <c r="D896" s="203">
        <f t="shared" si="235"/>
        <v>896</v>
      </c>
      <c r="E896" s="207" t="s">
        <v>298</v>
      </c>
      <c r="F896" s="211"/>
      <c r="G896" s="206"/>
      <c r="H896" s="206"/>
      <c r="I896" s="233">
        <f>I894</f>
        <v>18</v>
      </c>
      <c r="J896" s="211" t="str">
        <f>J891</f>
        <v>2500 mm</v>
      </c>
      <c r="K896" s="234">
        <v>1</v>
      </c>
      <c r="L896" s="208" t="s">
        <v>81</v>
      </c>
      <c r="M896" s="227">
        <f t="shared" ref="M896:M899" si="271">LEFT(J896,SEARCH(" ",J896,1)-1)*K896*0.001</f>
        <v>2.5</v>
      </c>
      <c r="N896" s="208" t="s">
        <v>139</v>
      </c>
      <c r="O896" s="246">
        <f>VLOOKUP(I896,BM!$A$2:$X$104,10,FALSE)</f>
        <v>1</v>
      </c>
      <c r="P896" s="208" t="s">
        <v>112</v>
      </c>
      <c r="Q896" s="240">
        <f t="shared" si="267"/>
        <v>2.5</v>
      </c>
      <c r="R896" s="239">
        <v>1</v>
      </c>
      <c r="S896" s="240">
        <f t="shared" si="252"/>
        <v>3.5</v>
      </c>
      <c r="T896" s="216" t="s">
        <v>48</v>
      </c>
      <c r="U896" s="196" t="str">
        <f t="shared" si="253"/>
        <v>3.5 Hrs</v>
      </c>
    </row>
    <row r="897" spans="3:21" s="185" customFormat="1" ht="20.25" customHeight="1">
      <c r="C897" s="198"/>
      <c r="D897" s="203">
        <f t="shared" si="235"/>
        <v>897</v>
      </c>
      <c r="E897" s="207" t="s">
        <v>298</v>
      </c>
      <c r="F897" s="211">
        <f t="shared" ref="F897:F899" si="272">D896</f>
        <v>896</v>
      </c>
      <c r="G897" s="206" t="s">
        <v>299</v>
      </c>
      <c r="H897" s="206"/>
      <c r="I897" s="233">
        <f>I894</f>
        <v>18</v>
      </c>
      <c r="J897" s="211" t="str">
        <f>J892</f>
        <v>2500 mm</v>
      </c>
      <c r="K897" s="234">
        <v>1</v>
      </c>
      <c r="L897" s="208" t="s">
        <v>81</v>
      </c>
      <c r="M897" s="227">
        <f t="shared" si="271"/>
        <v>2.5</v>
      </c>
      <c r="N897" s="208" t="s">
        <v>139</v>
      </c>
      <c r="O897" s="246">
        <f>VLOOKUP(I897,BM!$A$2:$X$104,10,FALSE)</f>
        <v>1</v>
      </c>
      <c r="P897" s="208" t="s">
        <v>112</v>
      </c>
      <c r="Q897" s="240">
        <f t="shared" si="267"/>
        <v>2.5</v>
      </c>
      <c r="R897" s="239">
        <v>1</v>
      </c>
      <c r="S897" s="240">
        <f t="shared" si="252"/>
        <v>3.5</v>
      </c>
      <c r="T897" s="216" t="s">
        <v>48</v>
      </c>
      <c r="U897" s="196" t="str">
        <f t="shared" si="253"/>
        <v>3.5 Hrs</v>
      </c>
    </row>
    <row r="898" spans="3:21" s="185" customFormat="1" ht="20.25" customHeight="1">
      <c r="C898" s="198"/>
      <c r="D898" s="203">
        <f t="shared" si="235"/>
        <v>898</v>
      </c>
      <c r="E898" s="207" t="s">
        <v>298</v>
      </c>
      <c r="F898" s="211">
        <f t="shared" si="272"/>
        <v>897</v>
      </c>
      <c r="G898" s="206" t="s">
        <v>299</v>
      </c>
      <c r="H898" s="206"/>
      <c r="I898" s="233">
        <f>I894</f>
        <v>18</v>
      </c>
      <c r="J898" s="211" t="str">
        <f>J893</f>
        <v>1250 mm</v>
      </c>
      <c r="K898" s="234">
        <v>1</v>
      </c>
      <c r="L898" s="208" t="s">
        <v>81</v>
      </c>
      <c r="M898" s="227">
        <f t="shared" si="271"/>
        <v>1.25</v>
      </c>
      <c r="N898" s="208" t="s">
        <v>139</v>
      </c>
      <c r="O898" s="246">
        <f>VLOOKUP(I898,BM!$A$2:$X$104,10,FALSE)</f>
        <v>1</v>
      </c>
      <c r="P898" s="208" t="s">
        <v>112</v>
      </c>
      <c r="Q898" s="240">
        <f t="shared" si="267"/>
        <v>1.25</v>
      </c>
      <c r="R898" s="239">
        <v>1</v>
      </c>
      <c r="S898" s="240">
        <f t="shared" si="252"/>
        <v>2.25</v>
      </c>
      <c r="T898" s="216" t="s">
        <v>48</v>
      </c>
      <c r="U898" s="196" t="str">
        <f t="shared" si="253"/>
        <v>2.25 Hrs</v>
      </c>
    </row>
    <row r="899" spans="3:21" s="185" customFormat="1" ht="20.25" customHeight="1">
      <c r="C899" s="198"/>
      <c r="D899" s="203">
        <f t="shared" si="235"/>
        <v>899</v>
      </c>
      <c r="E899" s="207" t="s">
        <v>298</v>
      </c>
      <c r="F899" s="211">
        <f t="shared" si="272"/>
        <v>898</v>
      </c>
      <c r="G899" s="206" t="s">
        <v>299</v>
      </c>
      <c r="H899" s="206"/>
      <c r="I899" s="233">
        <f>I894</f>
        <v>18</v>
      </c>
      <c r="J899" s="211" t="str">
        <f>J894</f>
        <v>0 mm</v>
      </c>
      <c r="K899" s="234">
        <v>1</v>
      </c>
      <c r="L899" s="208" t="s">
        <v>81</v>
      </c>
      <c r="M899" s="227">
        <f t="shared" si="271"/>
        <v>0</v>
      </c>
      <c r="N899" s="208" t="s">
        <v>139</v>
      </c>
      <c r="O899" s="246">
        <f>VLOOKUP(I899,BM!$A$2:$X$104,10,FALSE)</f>
        <v>1</v>
      </c>
      <c r="P899" s="208" t="s">
        <v>112</v>
      </c>
      <c r="Q899" s="240">
        <f t="shared" si="267"/>
        <v>0</v>
      </c>
      <c r="R899" s="239">
        <v>1</v>
      </c>
      <c r="S899" s="240">
        <f t="shared" si="252"/>
        <v>1</v>
      </c>
      <c r="T899" s="216" t="s">
        <v>48</v>
      </c>
      <c r="U899" s="196" t="str">
        <f t="shared" si="253"/>
        <v>1 Hrs</v>
      </c>
    </row>
    <row r="900" spans="3:21" s="185" customFormat="1" ht="20.25" customHeight="1">
      <c r="C900" s="198">
        <f>D900</f>
        <v>900</v>
      </c>
      <c r="D900" s="203">
        <f t="shared" ref="D900:D963" si="273">D899+1</f>
        <v>900</v>
      </c>
      <c r="E900" s="204" t="s">
        <v>300</v>
      </c>
      <c r="F900" s="210">
        <f>D895</f>
        <v>895</v>
      </c>
      <c r="G900" s="206"/>
      <c r="H900" s="206"/>
      <c r="I900" s="208"/>
      <c r="J900" s="208"/>
      <c r="K900" s="234"/>
      <c r="L900" s="208"/>
      <c r="M900" s="217"/>
      <c r="N900" s="208"/>
      <c r="O900" s="218"/>
      <c r="P900" s="208"/>
      <c r="Q900" s="240"/>
      <c r="R900" s="239"/>
      <c r="S900" s="240"/>
      <c r="T900" s="216"/>
      <c r="U900" s="196"/>
    </row>
    <row r="901" spans="3:21" s="185" customFormat="1" ht="20.25" customHeight="1">
      <c r="C901" s="198"/>
      <c r="D901" s="203">
        <f t="shared" si="273"/>
        <v>901</v>
      </c>
      <c r="E901" s="207" t="s">
        <v>301</v>
      </c>
      <c r="F901" s="211"/>
      <c r="G901" s="206" t="s">
        <v>44</v>
      </c>
      <c r="H901" s="206"/>
      <c r="I901" s="233">
        <f>I899</f>
        <v>18</v>
      </c>
      <c r="J901" s="211" t="str">
        <f>J896</f>
        <v>2500 mm</v>
      </c>
      <c r="K901" s="234">
        <v>1</v>
      </c>
      <c r="L901" s="208" t="s">
        <v>81</v>
      </c>
      <c r="M901" s="227">
        <v>1</v>
      </c>
      <c r="N901" s="208" t="s">
        <v>39</v>
      </c>
      <c r="O901" s="246">
        <f>VLOOKUP(I901,BM!$A$2:$X$104,11,FALSE)</f>
        <v>1</v>
      </c>
      <c r="P901" s="208" t="s">
        <v>112</v>
      </c>
      <c r="Q901" s="240">
        <f t="shared" ref="Q901:Q904" si="274">M901*O901</f>
        <v>1</v>
      </c>
      <c r="R901" s="239">
        <v>1</v>
      </c>
      <c r="S901" s="240">
        <f t="shared" si="252"/>
        <v>2</v>
      </c>
      <c r="T901" s="216" t="s">
        <v>48</v>
      </c>
      <c r="U901" s="196" t="str">
        <f t="shared" si="253"/>
        <v>2 Hrs</v>
      </c>
    </row>
    <row r="902" spans="3:21" s="185" customFormat="1" ht="20.25" customHeight="1">
      <c r="C902" s="198"/>
      <c r="D902" s="203">
        <f t="shared" si="273"/>
        <v>902</v>
      </c>
      <c r="E902" s="207" t="s">
        <v>301</v>
      </c>
      <c r="F902" s="211">
        <f t="shared" ref="F902:F904" si="275">D901</f>
        <v>901</v>
      </c>
      <c r="G902" s="206" t="s">
        <v>44</v>
      </c>
      <c r="H902" s="206"/>
      <c r="I902" s="233">
        <f>I899</f>
        <v>18</v>
      </c>
      <c r="J902" s="211" t="str">
        <f>J897</f>
        <v>2500 mm</v>
      </c>
      <c r="K902" s="234">
        <v>1</v>
      </c>
      <c r="L902" s="208" t="s">
        <v>81</v>
      </c>
      <c r="M902" s="227">
        <v>1</v>
      </c>
      <c r="N902" s="208" t="s">
        <v>39</v>
      </c>
      <c r="O902" s="246">
        <f>VLOOKUP(I902,BM!$A$2:$X$104,11,FALSE)</f>
        <v>1</v>
      </c>
      <c r="P902" s="208" t="s">
        <v>112</v>
      </c>
      <c r="Q902" s="240">
        <f t="shared" si="274"/>
        <v>1</v>
      </c>
      <c r="R902" s="239">
        <v>1</v>
      </c>
      <c r="S902" s="240">
        <f t="shared" si="252"/>
        <v>2</v>
      </c>
      <c r="T902" s="216" t="s">
        <v>48</v>
      </c>
      <c r="U902" s="196" t="str">
        <f t="shared" si="253"/>
        <v>2 Hrs</v>
      </c>
    </row>
    <row r="903" spans="3:21" s="185" customFormat="1" ht="20.25" customHeight="1">
      <c r="C903" s="198"/>
      <c r="D903" s="203">
        <f t="shared" si="273"/>
        <v>903</v>
      </c>
      <c r="E903" s="207" t="s">
        <v>301</v>
      </c>
      <c r="F903" s="211">
        <f t="shared" si="275"/>
        <v>902</v>
      </c>
      <c r="G903" s="206" t="s">
        <v>44</v>
      </c>
      <c r="H903" s="206"/>
      <c r="I903" s="233">
        <f>I899</f>
        <v>18</v>
      </c>
      <c r="J903" s="211" t="str">
        <f>J898</f>
        <v>1250 mm</v>
      </c>
      <c r="K903" s="234">
        <v>1</v>
      </c>
      <c r="L903" s="208" t="s">
        <v>81</v>
      </c>
      <c r="M903" s="227">
        <v>1</v>
      </c>
      <c r="N903" s="208" t="s">
        <v>39</v>
      </c>
      <c r="O903" s="246">
        <f>VLOOKUP(I903,BM!$A$2:$X$104,11,FALSE)</f>
        <v>1</v>
      </c>
      <c r="P903" s="208" t="s">
        <v>112</v>
      </c>
      <c r="Q903" s="240">
        <f t="shared" si="274"/>
        <v>1</v>
      </c>
      <c r="R903" s="239">
        <v>1</v>
      </c>
      <c r="S903" s="240">
        <f t="shared" si="252"/>
        <v>2</v>
      </c>
      <c r="T903" s="216" t="s">
        <v>48</v>
      </c>
      <c r="U903" s="196" t="str">
        <f t="shared" si="253"/>
        <v>2 Hrs</v>
      </c>
    </row>
    <row r="904" spans="3:21" s="185" customFormat="1" ht="20.25" customHeight="1">
      <c r="C904" s="198"/>
      <c r="D904" s="203">
        <f t="shared" si="273"/>
        <v>904</v>
      </c>
      <c r="E904" s="207" t="s">
        <v>301</v>
      </c>
      <c r="F904" s="211">
        <f t="shared" si="275"/>
        <v>903</v>
      </c>
      <c r="G904" s="206" t="s">
        <v>44</v>
      </c>
      <c r="H904" s="206"/>
      <c r="I904" s="233">
        <f>I899</f>
        <v>18</v>
      </c>
      <c r="J904" s="211" t="str">
        <f>J899</f>
        <v>0 mm</v>
      </c>
      <c r="K904" s="234">
        <v>1</v>
      </c>
      <c r="L904" s="208" t="s">
        <v>81</v>
      </c>
      <c r="M904" s="227">
        <v>1</v>
      </c>
      <c r="N904" s="208" t="s">
        <v>39</v>
      </c>
      <c r="O904" s="246">
        <f>VLOOKUP(I904,BM!$A$2:$X$104,11,FALSE)</f>
        <v>1</v>
      </c>
      <c r="P904" s="208" t="s">
        <v>112</v>
      </c>
      <c r="Q904" s="240">
        <f t="shared" si="274"/>
        <v>1</v>
      </c>
      <c r="R904" s="239">
        <v>1</v>
      </c>
      <c r="S904" s="240">
        <f t="shared" si="252"/>
        <v>2</v>
      </c>
      <c r="T904" s="216" t="s">
        <v>48</v>
      </c>
      <c r="U904" s="196" t="str">
        <f t="shared" si="253"/>
        <v>2 Hrs</v>
      </c>
    </row>
    <row r="905" spans="3:21" s="185" customFormat="1" ht="20.25" customHeight="1">
      <c r="C905" s="198">
        <f>D905</f>
        <v>905</v>
      </c>
      <c r="D905" s="203">
        <f t="shared" si="273"/>
        <v>905</v>
      </c>
      <c r="E905" s="204" t="s">
        <v>302</v>
      </c>
      <c r="F905" s="210">
        <f>D900</f>
        <v>900</v>
      </c>
      <c r="G905" s="206"/>
      <c r="H905" s="206"/>
      <c r="I905" s="208"/>
      <c r="J905" s="208"/>
      <c r="K905" s="234"/>
      <c r="L905" s="208"/>
      <c r="M905" s="217"/>
      <c r="N905" s="208"/>
      <c r="O905" s="218"/>
      <c r="P905" s="208"/>
      <c r="Q905" s="240"/>
      <c r="R905" s="239"/>
      <c r="S905" s="240"/>
      <c r="T905" s="216"/>
      <c r="U905" s="196"/>
    </row>
    <row r="906" spans="3:21" s="185" customFormat="1" ht="20.25" customHeight="1">
      <c r="C906" s="198"/>
      <c r="D906" s="203">
        <f t="shared" si="273"/>
        <v>906</v>
      </c>
      <c r="E906" s="207" t="s">
        <v>303</v>
      </c>
      <c r="F906" s="211"/>
      <c r="G906" s="206" t="s">
        <v>115</v>
      </c>
      <c r="H906" s="206"/>
      <c r="I906" s="224">
        <v>12</v>
      </c>
      <c r="J906" s="211" t="str">
        <f>J901</f>
        <v>2500 mm</v>
      </c>
      <c r="K906" s="234">
        <v>1</v>
      </c>
      <c r="L906" s="208" t="s">
        <v>81</v>
      </c>
      <c r="M906" s="227">
        <f t="shared" ref="M906:M909" si="276">LEFT(J906,SEARCH(" ",J906,1)-1)*K906*0.001</f>
        <v>2.5</v>
      </c>
      <c r="N906" s="208" t="s">
        <v>139</v>
      </c>
      <c r="O906" s="246">
        <f>VLOOKUP(I906,BM!$A$2:$X$104,12,FALSE)</f>
        <v>2.5</v>
      </c>
      <c r="P906" s="208" t="s">
        <v>112</v>
      </c>
      <c r="Q906" s="240">
        <f t="shared" ref="Q906:Q909" si="277">M906*O906</f>
        <v>6.25</v>
      </c>
      <c r="R906" s="239">
        <v>1</v>
      </c>
      <c r="S906" s="240">
        <f t="shared" si="252"/>
        <v>7.25</v>
      </c>
      <c r="T906" s="216" t="s">
        <v>48</v>
      </c>
      <c r="U906" s="196" t="str">
        <f t="shared" si="253"/>
        <v>7.25 Hrs</v>
      </c>
    </row>
    <row r="907" spans="3:21" s="185" customFormat="1" ht="20.25" customHeight="1">
      <c r="C907" s="198"/>
      <c r="D907" s="203">
        <f t="shared" si="273"/>
        <v>907</v>
      </c>
      <c r="E907" s="207" t="s">
        <v>303</v>
      </c>
      <c r="F907" s="211">
        <f t="shared" ref="F907:F909" si="278">D906</f>
        <v>906</v>
      </c>
      <c r="G907" s="206" t="s">
        <v>115</v>
      </c>
      <c r="H907" s="206"/>
      <c r="I907" s="233">
        <f>I906</f>
        <v>12</v>
      </c>
      <c r="J907" s="211" t="str">
        <f>J902</f>
        <v>2500 mm</v>
      </c>
      <c r="K907" s="234">
        <v>1</v>
      </c>
      <c r="L907" s="208" t="s">
        <v>81</v>
      </c>
      <c r="M907" s="227">
        <f t="shared" si="276"/>
        <v>2.5</v>
      </c>
      <c r="N907" s="208" t="s">
        <v>139</v>
      </c>
      <c r="O907" s="246">
        <f>VLOOKUP(I907,BM!$A$2:$X$104,12,FALSE)</f>
        <v>2.5</v>
      </c>
      <c r="P907" s="208" t="s">
        <v>112</v>
      </c>
      <c r="Q907" s="240">
        <f t="shared" si="277"/>
        <v>6.25</v>
      </c>
      <c r="R907" s="239">
        <v>1</v>
      </c>
      <c r="S907" s="240">
        <f t="shared" si="252"/>
        <v>7.25</v>
      </c>
      <c r="T907" s="216" t="s">
        <v>48</v>
      </c>
      <c r="U907" s="196" t="str">
        <f t="shared" si="253"/>
        <v>7.25 Hrs</v>
      </c>
    </row>
    <row r="908" spans="3:21" s="185" customFormat="1" ht="20.25" customHeight="1">
      <c r="C908" s="198"/>
      <c r="D908" s="203">
        <f t="shared" si="273"/>
        <v>908</v>
      </c>
      <c r="E908" s="207" t="s">
        <v>303</v>
      </c>
      <c r="F908" s="211">
        <f t="shared" si="278"/>
        <v>907</v>
      </c>
      <c r="G908" s="206" t="s">
        <v>115</v>
      </c>
      <c r="H908" s="206"/>
      <c r="I908" s="233">
        <f>I907</f>
        <v>12</v>
      </c>
      <c r="J908" s="211" t="str">
        <f>J903</f>
        <v>1250 mm</v>
      </c>
      <c r="K908" s="234">
        <v>1</v>
      </c>
      <c r="L908" s="208" t="s">
        <v>81</v>
      </c>
      <c r="M908" s="227">
        <f t="shared" si="276"/>
        <v>1.25</v>
      </c>
      <c r="N908" s="208" t="s">
        <v>139</v>
      </c>
      <c r="O908" s="246">
        <f>VLOOKUP(I908,BM!$A$2:$X$104,12,FALSE)</f>
        <v>2.5</v>
      </c>
      <c r="P908" s="208" t="s">
        <v>112</v>
      </c>
      <c r="Q908" s="240">
        <f t="shared" si="277"/>
        <v>3.125</v>
      </c>
      <c r="R908" s="239">
        <v>1</v>
      </c>
      <c r="S908" s="240">
        <f t="shared" si="252"/>
        <v>4.13</v>
      </c>
      <c r="T908" s="216" t="s">
        <v>48</v>
      </c>
      <c r="U908" s="196" t="str">
        <f t="shared" si="253"/>
        <v>4.13 Hrs</v>
      </c>
    </row>
    <row r="909" spans="3:21" s="185" customFormat="1" ht="20.25" customHeight="1">
      <c r="C909" s="198"/>
      <c r="D909" s="203">
        <f t="shared" si="273"/>
        <v>909</v>
      </c>
      <c r="E909" s="207" t="s">
        <v>303</v>
      </c>
      <c r="F909" s="211">
        <f t="shared" si="278"/>
        <v>908</v>
      </c>
      <c r="G909" s="206" t="s">
        <v>115</v>
      </c>
      <c r="H909" s="206"/>
      <c r="I909" s="233">
        <f>I908</f>
        <v>12</v>
      </c>
      <c r="J909" s="211" t="str">
        <f>J904</f>
        <v>0 mm</v>
      </c>
      <c r="K909" s="234">
        <v>1</v>
      </c>
      <c r="L909" s="208" t="s">
        <v>81</v>
      </c>
      <c r="M909" s="227">
        <f t="shared" si="276"/>
        <v>0</v>
      </c>
      <c r="N909" s="208" t="s">
        <v>139</v>
      </c>
      <c r="O909" s="246">
        <f>VLOOKUP(I909,BM!$A$2:$X$104,12,FALSE)</f>
        <v>2.5</v>
      </c>
      <c r="P909" s="208" t="s">
        <v>112</v>
      </c>
      <c r="Q909" s="240">
        <f t="shared" si="277"/>
        <v>0</v>
      </c>
      <c r="R909" s="239">
        <v>1</v>
      </c>
      <c r="S909" s="240">
        <f t="shared" si="252"/>
        <v>1</v>
      </c>
      <c r="T909" s="216" t="s">
        <v>48</v>
      </c>
      <c r="U909" s="196" t="str">
        <f t="shared" si="253"/>
        <v>1 Hrs</v>
      </c>
    </row>
    <row r="910" spans="3:21" s="185" customFormat="1" ht="20.25" customHeight="1">
      <c r="C910" s="198">
        <f>D910</f>
        <v>910</v>
      </c>
      <c r="D910" s="203">
        <f t="shared" si="273"/>
        <v>910</v>
      </c>
      <c r="E910" s="204" t="s">
        <v>304</v>
      </c>
      <c r="F910" s="210">
        <f>D905</f>
        <v>905</v>
      </c>
      <c r="G910" s="206"/>
      <c r="H910" s="206"/>
      <c r="I910" s="208"/>
      <c r="J910" s="208"/>
      <c r="K910" s="234"/>
      <c r="L910" s="208"/>
      <c r="M910" s="217"/>
      <c r="N910" s="208"/>
      <c r="O910" s="218"/>
      <c r="P910" s="208"/>
      <c r="Q910" s="240"/>
      <c r="R910" s="239"/>
      <c r="S910" s="240"/>
      <c r="T910" s="216"/>
      <c r="U910" s="196"/>
    </row>
    <row r="911" spans="3:21" s="185" customFormat="1" ht="20.25" customHeight="1">
      <c r="C911" s="198"/>
      <c r="D911" s="203">
        <f t="shared" si="273"/>
        <v>911</v>
      </c>
      <c r="E911" s="207" t="s">
        <v>305</v>
      </c>
      <c r="F911" s="211"/>
      <c r="G911" s="206" t="s">
        <v>61</v>
      </c>
      <c r="H911" s="206"/>
      <c r="I911" s="224">
        <v>18</v>
      </c>
      <c r="J911" s="211" t="str">
        <f>J906</f>
        <v>2500 mm</v>
      </c>
      <c r="K911" s="234">
        <v>1</v>
      </c>
      <c r="L911" s="208" t="s">
        <v>81</v>
      </c>
      <c r="M911" s="227">
        <f t="shared" ref="M911:M914" si="279">LEFT(J911,SEARCH(" ",J911,1)-1)*K911*0.001</f>
        <v>2.5</v>
      </c>
      <c r="N911" s="208" t="s">
        <v>139</v>
      </c>
      <c r="O911" s="246">
        <f>VLOOKUP(I911,BM!$A$2:$X$104,18,FALSE)</f>
        <v>1</v>
      </c>
      <c r="P911" s="208" t="s">
        <v>112</v>
      </c>
      <c r="Q911" s="240">
        <f t="shared" ref="Q911:Q914" si="280">M911*O911</f>
        <v>2.5</v>
      </c>
      <c r="R911" s="239">
        <v>1</v>
      </c>
      <c r="S911" s="240">
        <f t="shared" si="252"/>
        <v>3.5</v>
      </c>
      <c r="T911" s="216" t="s">
        <v>48</v>
      </c>
      <c r="U911" s="196" t="str">
        <f t="shared" si="253"/>
        <v>3.5 Hrs</v>
      </c>
    </row>
    <row r="912" spans="3:21" s="185" customFormat="1" ht="20.25" customHeight="1">
      <c r="C912" s="198"/>
      <c r="D912" s="203">
        <f t="shared" si="273"/>
        <v>912</v>
      </c>
      <c r="E912" s="207" t="s">
        <v>305</v>
      </c>
      <c r="F912" s="211">
        <f t="shared" ref="F912:F914" si="281">D911</f>
        <v>911</v>
      </c>
      <c r="G912" s="206" t="s">
        <v>61</v>
      </c>
      <c r="H912" s="206"/>
      <c r="I912" s="224">
        <v>18</v>
      </c>
      <c r="J912" s="211" t="str">
        <f>J907</f>
        <v>2500 mm</v>
      </c>
      <c r="K912" s="234">
        <v>1</v>
      </c>
      <c r="L912" s="208" t="s">
        <v>81</v>
      </c>
      <c r="M912" s="227">
        <f t="shared" si="279"/>
        <v>2.5</v>
      </c>
      <c r="N912" s="208" t="s">
        <v>139</v>
      </c>
      <c r="O912" s="246">
        <f>VLOOKUP(I912,BM!$A$2:$X$104,18,FALSE)</f>
        <v>1</v>
      </c>
      <c r="P912" s="208" t="s">
        <v>112</v>
      </c>
      <c r="Q912" s="240">
        <f t="shared" si="280"/>
        <v>2.5</v>
      </c>
      <c r="R912" s="239">
        <v>1</v>
      </c>
      <c r="S912" s="240">
        <f t="shared" si="252"/>
        <v>3.5</v>
      </c>
      <c r="T912" s="216" t="s">
        <v>48</v>
      </c>
      <c r="U912" s="196" t="str">
        <f t="shared" si="253"/>
        <v>3.5 Hrs</v>
      </c>
    </row>
    <row r="913" spans="3:21" s="185" customFormat="1" ht="20.25" customHeight="1">
      <c r="C913" s="198"/>
      <c r="D913" s="203">
        <f t="shared" si="273"/>
        <v>913</v>
      </c>
      <c r="E913" s="207" t="s">
        <v>305</v>
      </c>
      <c r="F913" s="211">
        <f t="shared" si="281"/>
        <v>912</v>
      </c>
      <c r="G913" s="206" t="s">
        <v>61</v>
      </c>
      <c r="H913" s="206"/>
      <c r="I913" s="224">
        <v>18</v>
      </c>
      <c r="J913" s="211" t="str">
        <f>J908</f>
        <v>1250 mm</v>
      </c>
      <c r="K913" s="234">
        <v>1</v>
      </c>
      <c r="L913" s="208" t="s">
        <v>81</v>
      </c>
      <c r="M913" s="227">
        <f t="shared" si="279"/>
        <v>1.25</v>
      </c>
      <c r="N913" s="208" t="s">
        <v>139</v>
      </c>
      <c r="O913" s="246">
        <f>VLOOKUP(I913,BM!$A$2:$X$104,18,FALSE)</f>
        <v>1</v>
      </c>
      <c r="P913" s="208" t="s">
        <v>112</v>
      </c>
      <c r="Q913" s="240">
        <f t="shared" si="280"/>
        <v>1.25</v>
      </c>
      <c r="R913" s="239">
        <v>1</v>
      </c>
      <c r="S913" s="240">
        <f t="shared" si="252"/>
        <v>2.25</v>
      </c>
      <c r="T913" s="216" t="s">
        <v>48</v>
      </c>
      <c r="U913" s="196" t="str">
        <f t="shared" si="253"/>
        <v>2.25 Hrs</v>
      </c>
    </row>
    <row r="914" spans="3:21" s="185" customFormat="1" ht="20.25" customHeight="1">
      <c r="C914" s="198"/>
      <c r="D914" s="203">
        <f t="shared" si="273"/>
        <v>914</v>
      </c>
      <c r="E914" s="207" t="s">
        <v>305</v>
      </c>
      <c r="F914" s="211">
        <f t="shared" si="281"/>
        <v>913</v>
      </c>
      <c r="G914" s="206" t="s">
        <v>61</v>
      </c>
      <c r="H914" s="206"/>
      <c r="I914" s="224">
        <v>18</v>
      </c>
      <c r="J914" s="211" t="str">
        <f>J909</f>
        <v>0 mm</v>
      </c>
      <c r="K914" s="234">
        <v>1</v>
      </c>
      <c r="L914" s="208" t="s">
        <v>81</v>
      </c>
      <c r="M914" s="227">
        <f t="shared" si="279"/>
        <v>0</v>
      </c>
      <c r="N914" s="208" t="s">
        <v>139</v>
      </c>
      <c r="O914" s="246">
        <f>VLOOKUP(I914,BM!$A$2:$X$104,18,FALSE)</f>
        <v>1</v>
      </c>
      <c r="P914" s="208" t="s">
        <v>112</v>
      </c>
      <c r="Q914" s="240">
        <f t="shared" si="280"/>
        <v>0</v>
      </c>
      <c r="R914" s="239">
        <v>1</v>
      </c>
      <c r="S914" s="240">
        <f t="shared" si="252"/>
        <v>1</v>
      </c>
      <c r="T914" s="216" t="s">
        <v>48</v>
      </c>
      <c r="U914" s="196" t="str">
        <f t="shared" si="253"/>
        <v>1 Hrs</v>
      </c>
    </row>
    <row r="915" spans="3:21" s="185" customFormat="1" ht="20.25" customHeight="1">
      <c r="C915" s="198">
        <f>D915</f>
        <v>915</v>
      </c>
      <c r="D915" s="203">
        <f t="shared" si="273"/>
        <v>915</v>
      </c>
      <c r="E915" s="204" t="s">
        <v>306</v>
      </c>
      <c r="F915" s="210">
        <f>D910</f>
        <v>910</v>
      </c>
      <c r="G915" s="206"/>
      <c r="H915" s="206"/>
      <c r="I915" s="208"/>
      <c r="J915" s="208"/>
      <c r="K915" s="234"/>
      <c r="L915" s="208"/>
      <c r="M915" s="217"/>
      <c r="N915" s="208"/>
      <c r="O915" s="218"/>
      <c r="P915" s="208"/>
      <c r="Q915" s="240"/>
      <c r="R915" s="239"/>
      <c r="S915" s="240"/>
      <c r="T915" s="216"/>
      <c r="U915" s="196"/>
    </row>
    <row r="916" spans="3:21" s="185" customFormat="1" ht="20.25" customHeight="1">
      <c r="C916" s="198"/>
      <c r="D916" s="203">
        <f t="shared" si="273"/>
        <v>916</v>
      </c>
      <c r="E916" s="207" t="s">
        <v>307</v>
      </c>
      <c r="F916" s="211"/>
      <c r="G916" s="206" t="s">
        <v>115</v>
      </c>
      <c r="H916" s="206"/>
      <c r="I916" s="224">
        <v>6</v>
      </c>
      <c r="J916" s="211" t="str">
        <f>J911</f>
        <v>2500 mm</v>
      </c>
      <c r="K916" s="234">
        <v>1</v>
      </c>
      <c r="L916" s="208" t="s">
        <v>81</v>
      </c>
      <c r="M916" s="227">
        <f t="shared" ref="M916:M919" si="282">LEFT(J916,SEARCH(" ",J916,1)-1)*K916*0.001</f>
        <v>2.5</v>
      </c>
      <c r="N916" s="208" t="s">
        <v>139</v>
      </c>
      <c r="O916" s="246">
        <f>VLOOKUP(I916,BM!$A$2:$X$104,12,FALSE)</f>
        <v>0.9</v>
      </c>
      <c r="P916" s="208" t="s">
        <v>112</v>
      </c>
      <c r="Q916" s="240">
        <f t="shared" ref="Q916:Q919" si="283">M916*O916</f>
        <v>2.25</v>
      </c>
      <c r="R916" s="239">
        <v>1</v>
      </c>
      <c r="S916" s="240">
        <f t="shared" si="252"/>
        <v>3.25</v>
      </c>
      <c r="T916" s="216" t="s">
        <v>48</v>
      </c>
      <c r="U916" s="196" t="str">
        <f t="shared" si="253"/>
        <v>3.25 Hrs</v>
      </c>
    </row>
    <row r="917" spans="3:21" s="185" customFormat="1" ht="20.25" customHeight="1">
      <c r="C917" s="198"/>
      <c r="D917" s="203">
        <f t="shared" si="273"/>
        <v>917</v>
      </c>
      <c r="E917" s="207" t="s">
        <v>307</v>
      </c>
      <c r="F917" s="211">
        <f t="shared" ref="F917:F919" si="284">D916</f>
        <v>916</v>
      </c>
      <c r="G917" s="206" t="s">
        <v>115</v>
      </c>
      <c r="H917" s="206"/>
      <c r="I917" s="233">
        <f>I916</f>
        <v>6</v>
      </c>
      <c r="J917" s="211" t="str">
        <f>J912</f>
        <v>2500 mm</v>
      </c>
      <c r="K917" s="234">
        <v>1</v>
      </c>
      <c r="L917" s="208" t="s">
        <v>81</v>
      </c>
      <c r="M917" s="227">
        <f t="shared" si="282"/>
        <v>2.5</v>
      </c>
      <c r="N917" s="208" t="s">
        <v>139</v>
      </c>
      <c r="O917" s="246">
        <f>VLOOKUP(I917,BM!$A$2:$X$104,12,FALSE)</f>
        <v>0.9</v>
      </c>
      <c r="P917" s="208" t="s">
        <v>112</v>
      </c>
      <c r="Q917" s="240">
        <f t="shared" si="283"/>
        <v>2.25</v>
      </c>
      <c r="R917" s="239">
        <v>1</v>
      </c>
      <c r="S917" s="240">
        <f t="shared" si="252"/>
        <v>3.25</v>
      </c>
      <c r="T917" s="216" t="s">
        <v>48</v>
      </c>
      <c r="U917" s="196" t="str">
        <f t="shared" si="253"/>
        <v>3.25 Hrs</v>
      </c>
    </row>
    <row r="918" spans="3:21" s="185" customFormat="1" ht="20.25" customHeight="1">
      <c r="C918" s="198"/>
      <c r="D918" s="203">
        <f t="shared" si="273"/>
        <v>918</v>
      </c>
      <c r="E918" s="207" t="s">
        <v>307</v>
      </c>
      <c r="F918" s="211">
        <f t="shared" si="284"/>
        <v>917</v>
      </c>
      <c r="G918" s="206" t="s">
        <v>115</v>
      </c>
      <c r="H918" s="206"/>
      <c r="I918" s="233">
        <f>I917</f>
        <v>6</v>
      </c>
      <c r="J918" s="211" t="str">
        <f>J913</f>
        <v>1250 mm</v>
      </c>
      <c r="K918" s="234">
        <v>1</v>
      </c>
      <c r="L918" s="208" t="s">
        <v>81</v>
      </c>
      <c r="M918" s="227">
        <f t="shared" si="282"/>
        <v>1.25</v>
      </c>
      <c r="N918" s="208" t="s">
        <v>139</v>
      </c>
      <c r="O918" s="246">
        <f>VLOOKUP(I918,BM!$A$2:$X$104,12,FALSE)</f>
        <v>0.9</v>
      </c>
      <c r="P918" s="208" t="s">
        <v>112</v>
      </c>
      <c r="Q918" s="240">
        <f t="shared" si="283"/>
        <v>1.125</v>
      </c>
      <c r="R918" s="239">
        <v>1</v>
      </c>
      <c r="S918" s="240">
        <f t="shared" si="252"/>
        <v>2.13</v>
      </c>
      <c r="T918" s="216" t="s">
        <v>48</v>
      </c>
      <c r="U918" s="196" t="str">
        <f t="shared" si="253"/>
        <v>2.13 Hrs</v>
      </c>
    </row>
    <row r="919" spans="3:21" s="185" customFormat="1" ht="20.25" customHeight="1">
      <c r="C919" s="198"/>
      <c r="D919" s="203">
        <f t="shared" si="273"/>
        <v>919</v>
      </c>
      <c r="E919" s="207" t="s">
        <v>307</v>
      </c>
      <c r="F919" s="211">
        <f t="shared" si="284"/>
        <v>918</v>
      </c>
      <c r="G919" s="206" t="s">
        <v>115</v>
      </c>
      <c r="H919" s="206"/>
      <c r="I919" s="233">
        <f>I918</f>
        <v>6</v>
      </c>
      <c r="J919" s="211" t="str">
        <f>J914</f>
        <v>0 mm</v>
      </c>
      <c r="K919" s="234">
        <v>1</v>
      </c>
      <c r="L919" s="208" t="s">
        <v>81</v>
      </c>
      <c r="M919" s="227">
        <f t="shared" si="282"/>
        <v>0</v>
      </c>
      <c r="N919" s="208" t="s">
        <v>139</v>
      </c>
      <c r="O919" s="246">
        <f>VLOOKUP(I919,BM!$A$2:$X$104,12,FALSE)</f>
        <v>0.9</v>
      </c>
      <c r="P919" s="208" t="s">
        <v>112</v>
      </c>
      <c r="Q919" s="240">
        <f t="shared" si="283"/>
        <v>0</v>
      </c>
      <c r="R919" s="239">
        <v>1</v>
      </c>
      <c r="S919" s="240">
        <f t="shared" si="252"/>
        <v>1</v>
      </c>
      <c r="T919" s="216" t="s">
        <v>48</v>
      </c>
      <c r="U919" s="196" t="str">
        <f t="shared" si="253"/>
        <v>1 Hrs</v>
      </c>
    </row>
    <row r="920" spans="3:21" s="185" customFormat="1" ht="20.25" customHeight="1">
      <c r="C920" s="198">
        <f>D920</f>
        <v>920</v>
      </c>
      <c r="D920" s="203">
        <f t="shared" si="273"/>
        <v>920</v>
      </c>
      <c r="E920" s="204" t="s">
        <v>308</v>
      </c>
      <c r="F920" s="210">
        <f>D915</f>
        <v>915</v>
      </c>
      <c r="G920" s="206"/>
      <c r="H920" s="206"/>
      <c r="I920" s="208"/>
      <c r="J920" s="208"/>
      <c r="K920" s="234"/>
      <c r="L920" s="208"/>
      <c r="M920" s="217"/>
      <c r="N920" s="208"/>
      <c r="O920" s="218"/>
      <c r="P920" s="208"/>
      <c r="Q920" s="240"/>
      <c r="R920" s="239"/>
      <c r="S920" s="240"/>
      <c r="T920" s="216"/>
      <c r="U920" s="196"/>
    </row>
    <row r="921" spans="3:21" s="185" customFormat="1" ht="20.25" customHeight="1">
      <c r="C921" s="198"/>
      <c r="D921" s="203">
        <f t="shared" si="273"/>
        <v>921</v>
      </c>
      <c r="E921" s="207" t="s">
        <v>309</v>
      </c>
      <c r="F921" s="211"/>
      <c r="G921" s="206" t="s">
        <v>61</v>
      </c>
      <c r="H921" s="206"/>
      <c r="I921" s="233">
        <f>I911</f>
        <v>18</v>
      </c>
      <c r="J921" s="211" t="str">
        <f>J916</f>
        <v>2500 mm</v>
      </c>
      <c r="K921" s="234">
        <v>1</v>
      </c>
      <c r="L921" s="208" t="s">
        <v>81</v>
      </c>
      <c r="M921" s="227">
        <f t="shared" ref="M921:M924" si="285">LEFT(J921,SEARCH(" ",J921,1)-1)*K921*0.001</f>
        <v>2.5</v>
      </c>
      <c r="N921" s="208" t="s">
        <v>139</v>
      </c>
      <c r="O921" s="246">
        <f>VLOOKUP(I921,BM!$A$2:$X$104,20,FALSE)</f>
        <v>0.5</v>
      </c>
      <c r="P921" s="208" t="s">
        <v>112</v>
      </c>
      <c r="Q921" s="240">
        <f t="shared" ref="Q921:Q924" si="286">M921*O921</f>
        <v>1.25</v>
      </c>
      <c r="R921" s="239">
        <v>1</v>
      </c>
      <c r="S921" s="240">
        <f t="shared" si="252"/>
        <v>2.25</v>
      </c>
      <c r="T921" s="216" t="s">
        <v>48</v>
      </c>
      <c r="U921" s="196" t="str">
        <f t="shared" si="253"/>
        <v>2.25 Hrs</v>
      </c>
    </row>
    <row r="922" spans="3:21" s="185" customFormat="1" ht="20.25" customHeight="1">
      <c r="C922" s="198"/>
      <c r="D922" s="203">
        <f t="shared" si="273"/>
        <v>922</v>
      </c>
      <c r="E922" s="207" t="s">
        <v>309</v>
      </c>
      <c r="F922" s="211">
        <f t="shared" ref="F922:F924" si="287">D921</f>
        <v>921</v>
      </c>
      <c r="G922" s="206" t="s">
        <v>61</v>
      </c>
      <c r="H922" s="206"/>
      <c r="I922" s="233">
        <f t="shared" ref="I922:I924" si="288">I921</f>
        <v>18</v>
      </c>
      <c r="J922" s="211" t="str">
        <f>J917</f>
        <v>2500 mm</v>
      </c>
      <c r="K922" s="234">
        <v>1</v>
      </c>
      <c r="L922" s="208" t="s">
        <v>81</v>
      </c>
      <c r="M922" s="227">
        <f t="shared" si="285"/>
        <v>2.5</v>
      </c>
      <c r="N922" s="208" t="s">
        <v>139</v>
      </c>
      <c r="O922" s="246">
        <f>VLOOKUP(I922,BM!$A$2:$X$104,20,FALSE)</f>
        <v>0.5</v>
      </c>
      <c r="P922" s="208" t="s">
        <v>112</v>
      </c>
      <c r="Q922" s="240">
        <f t="shared" si="286"/>
        <v>1.25</v>
      </c>
      <c r="R922" s="239">
        <v>1</v>
      </c>
      <c r="S922" s="240">
        <f t="shared" si="252"/>
        <v>2.25</v>
      </c>
      <c r="T922" s="216" t="s">
        <v>48</v>
      </c>
      <c r="U922" s="196" t="str">
        <f t="shared" si="253"/>
        <v>2.25 Hrs</v>
      </c>
    </row>
    <row r="923" spans="3:21" s="185" customFormat="1" ht="20.25" customHeight="1">
      <c r="C923" s="198"/>
      <c r="D923" s="203">
        <f t="shared" si="273"/>
        <v>923</v>
      </c>
      <c r="E923" s="207" t="s">
        <v>309</v>
      </c>
      <c r="F923" s="211">
        <f t="shared" si="287"/>
        <v>922</v>
      </c>
      <c r="G923" s="206" t="s">
        <v>61</v>
      </c>
      <c r="H923" s="206"/>
      <c r="I923" s="233">
        <f t="shared" si="288"/>
        <v>18</v>
      </c>
      <c r="J923" s="211" t="str">
        <f>J918</f>
        <v>1250 mm</v>
      </c>
      <c r="K923" s="234">
        <v>1</v>
      </c>
      <c r="L923" s="208" t="s">
        <v>81</v>
      </c>
      <c r="M923" s="227">
        <f t="shared" si="285"/>
        <v>1.25</v>
      </c>
      <c r="N923" s="208" t="s">
        <v>139</v>
      </c>
      <c r="O923" s="246">
        <f>VLOOKUP(I923,BM!$A$2:$X$104,20,FALSE)</f>
        <v>0.5</v>
      </c>
      <c r="P923" s="208" t="s">
        <v>112</v>
      </c>
      <c r="Q923" s="240">
        <f t="shared" si="286"/>
        <v>0.625</v>
      </c>
      <c r="R923" s="239">
        <v>1</v>
      </c>
      <c r="S923" s="240">
        <f t="shared" si="252"/>
        <v>1.63</v>
      </c>
      <c r="T923" s="216" t="s">
        <v>48</v>
      </c>
      <c r="U923" s="196" t="str">
        <f t="shared" si="253"/>
        <v>1.63 Hrs</v>
      </c>
    </row>
    <row r="924" spans="3:21" s="185" customFormat="1" ht="20.25" customHeight="1">
      <c r="C924" s="198"/>
      <c r="D924" s="203">
        <f t="shared" si="273"/>
        <v>924</v>
      </c>
      <c r="E924" s="207" t="s">
        <v>309</v>
      </c>
      <c r="F924" s="211">
        <f t="shared" si="287"/>
        <v>923</v>
      </c>
      <c r="G924" s="206" t="s">
        <v>61</v>
      </c>
      <c r="H924" s="206"/>
      <c r="I924" s="233">
        <f t="shared" si="288"/>
        <v>18</v>
      </c>
      <c r="J924" s="211" t="str">
        <f>J919</f>
        <v>0 mm</v>
      </c>
      <c r="K924" s="234">
        <v>1</v>
      </c>
      <c r="L924" s="208" t="s">
        <v>81</v>
      </c>
      <c r="M924" s="227">
        <f t="shared" si="285"/>
        <v>0</v>
      </c>
      <c r="N924" s="208" t="s">
        <v>139</v>
      </c>
      <c r="O924" s="246">
        <f>VLOOKUP(I924,BM!$A$2:$X$104,20,FALSE)</f>
        <v>0.5</v>
      </c>
      <c r="P924" s="208" t="s">
        <v>112</v>
      </c>
      <c r="Q924" s="240">
        <f t="shared" si="286"/>
        <v>0</v>
      </c>
      <c r="R924" s="239">
        <v>1</v>
      </c>
      <c r="S924" s="240">
        <f t="shared" si="252"/>
        <v>1</v>
      </c>
      <c r="T924" s="216" t="s">
        <v>48</v>
      </c>
      <c r="U924" s="196" t="str">
        <f t="shared" si="253"/>
        <v>1 Hrs</v>
      </c>
    </row>
    <row r="925" spans="3:21" s="185" customFormat="1" ht="20.25" customHeight="1">
      <c r="C925" s="198">
        <f>D925</f>
        <v>925</v>
      </c>
      <c r="D925" s="203">
        <f t="shared" si="273"/>
        <v>925</v>
      </c>
      <c r="E925" s="204" t="s">
        <v>310</v>
      </c>
      <c r="F925" s="210">
        <f>D920</f>
        <v>920</v>
      </c>
      <c r="G925" s="206"/>
      <c r="H925" s="206"/>
      <c r="I925" s="208"/>
      <c r="J925" s="208"/>
      <c r="K925" s="234"/>
      <c r="L925" s="208"/>
      <c r="M925" s="217"/>
      <c r="N925" s="208"/>
      <c r="O925" s="218"/>
      <c r="P925" s="208"/>
      <c r="Q925" s="240"/>
      <c r="R925" s="239"/>
      <c r="S925" s="240"/>
      <c r="T925" s="216"/>
      <c r="U925" s="196"/>
    </row>
    <row r="926" spans="3:21" s="185" customFormat="1" ht="20.25" customHeight="1">
      <c r="C926" s="198"/>
      <c r="D926" s="203">
        <f t="shared" si="273"/>
        <v>926</v>
      </c>
      <c r="E926" s="207" t="s">
        <v>311</v>
      </c>
      <c r="F926" s="211"/>
      <c r="G926" s="206" t="s">
        <v>312</v>
      </c>
      <c r="H926" s="206"/>
      <c r="I926" s="233">
        <f>I924</f>
        <v>18</v>
      </c>
      <c r="J926" s="211" t="str">
        <f>J921</f>
        <v>2500 mm</v>
      </c>
      <c r="K926" s="234">
        <v>1</v>
      </c>
      <c r="L926" s="208" t="s">
        <v>81</v>
      </c>
      <c r="M926" s="217">
        <v>1</v>
      </c>
      <c r="N926" s="208" t="s">
        <v>39</v>
      </c>
      <c r="O926" s="218">
        <v>1</v>
      </c>
      <c r="P926" s="208" t="s">
        <v>41</v>
      </c>
      <c r="Q926" s="240">
        <f t="shared" ref="Q926:Q934" si="289">M926*O926</f>
        <v>1</v>
      </c>
      <c r="R926" s="239"/>
      <c r="S926" s="240">
        <f t="shared" ref="S926:S988" si="290">ROUND(Q926+R926,2)</f>
        <v>1</v>
      </c>
      <c r="T926" s="216" t="s">
        <v>42</v>
      </c>
      <c r="U926" s="196" t="str">
        <f t="shared" ref="U926:U988" si="291">CONCATENATE(S926," ",T926)</f>
        <v>1 Days</v>
      </c>
    </row>
    <row r="927" spans="3:21" s="185" customFormat="1" ht="20.25" customHeight="1">
      <c r="C927" s="198"/>
      <c r="D927" s="203">
        <f t="shared" si="273"/>
        <v>927</v>
      </c>
      <c r="E927" s="207" t="s">
        <v>311</v>
      </c>
      <c r="F927" s="211">
        <f t="shared" ref="F927:F929" si="292">D926</f>
        <v>926</v>
      </c>
      <c r="G927" s="206" t="s">
        <v>312</v>
      </c>
      <c r="H927" s="206"/>
      <c r="I927" s="233">
        <f t="shared" ref="I927:I929" si="293">I926</f>
        <v>18</v>
      </c>
      <c r="J927" s="211" t="str">
        <f>J922</f>
        <v>2500 mm</v>
      </c>
      <c r="K927" s="234">
        <v>1</v>
      </c>
      <c r="L927" s="208" t="s">
        <v>81</v>
      </c>
      <c r="M927" s="217">
        <v>1</v>
      </c>
      <c r="N927" s="208" t="s">
        <v>39</v>
      </c>
      <c r="O927" s="246">
        <f t="shared" ref="O927:P929" si="294">O926</f>
        <v>1</v>
      </c>
      <c r="P927" s="211" t="str">
        <f t="shared" si="294"/>
        <v>Day</v>
      </c>
      <c r="Q927" s="240">
        <f t="shared" si="289"/>
        <v>1</v>
      </c>
      <c r="R927" s="239"/>
      <c r="S927" s="240">
        <f t="shared" si="290"/>
        <v>1</v>
      </c>
      <c r="T927" s="216" t="s">
        <v>42</v>
      </c>
      <c r="U927" s="196" t="str">
        <f t="shared" si="291"/>
        <v>1 Days</v>
      </c>
    </row>
    <row r="928" spans="3:21" s="185" customFormat="1" ht="20.25" customHeight="1">
      <c r="C928" s="198"/>
      <c r="D928" s="203">
        <f t="shared" si="273"/>
        <v>928</v>
      </c>
      <c r="E928" s="207" t="s">
        <v>311</v>
      </c>
      <c r="F928" s="211">
        <f t="shared" si="292"/>
        <v>927</v>
      </c>
      <c r="G928" s="206" t="s">
        <v>312</v>
      </c>
      <c r="H928" s="206"/>
      <c r="I928" s="233">
        <f t="shared" si="293"/>
        <v>18</v>
      </c>
      <c r="J928" s="211" t="str">
        <f>J923</f>
        <v>1250 mm</v>
      </c>
      <c r="K928" s="234">
        <v>1</v>
      </c>
      <c r="L928" s="208" t="s">
        <v>81</v>
      </c>
      <c r="M928" s="217">
        <v>1</v>
      </c>
      <c r="N928" s="208" t="s">
        <v>39</v>
      </c>
      <c r="O928" s="246">
        <f t="shared" si="294"/>
        <v>1</v>
      </c>
      <c r="P928" s="211" t="str">
        <f t="shared" si="294"/>
        <v>Day</v>
      </c>
      <c r="Q928" s="240">
        <f t="shared" si="289"/>
        <v>1</v>
      </c>
      <c r="R928" s="239"/>
      <c r="S928" s="240">
        <f t="shared" si="290"/>
        <v>1</v>
      </c>
      <c r="T928" s="216" t="s">
        <v>42</v>
      </c>
      <c r="U928" s="196" t="str">
        <f t="shared" si="291"/>
        <v>1 Days</v>
      </c>
    </row>
    <row r="929" spans="3:21" s="185" customFormat="1" ht="20.25" customHeight="1">
      <c r="C929" s="198"/>
      <c r="D929" s="203">
        <f t="shared" si="273"/>
        <v>929</v>
      </c>
      <c r="E929" s="207" t="s">
        <v>311</v>
      </c>
      <c r="F929" s="211">
        <f t="shared" si="292"/>
        <v>928</v>
      </c>
      <c r="G929" s="206" t="s">
        <v>312</v>
      </c>
      <c r="H929" s="206"/>
      <c r="I929" s="233">
        <f t="shared" si="293"/>
        <v>18</v>
      </c>
      <c r="J929" s="211" t="str">
        <f>J924</f>
        <v>0 mm</v>
      </c>
      <c r="K929" s="234">
        <v>1</v>
      </c>
      <c r="L929" s="208" t="s">
        <v>81</v>
      </c>
      <c r="M929" s="217">
        <v>1</v>
      </c>
      <c r="N929" s="208" t="s">
        <v>39</v>
      </c>
      <c r="O929" s="246">
        <f t="shared" si="294"/>
        <v>1</v>
      </c>
      <c r="P929" s="211" t="str">
        <f t="shared" si="294"/>
        <v>Day</v>
      </c>
      <c r="Q929" s="240">
        <f t="shared" si="289"/>
        <v>1</v>
      </c>
      <c r="R929" s="239"/>
      <c r="S929" s="240">
        <f t="shared" si="290"/>
        <v>1</v>
      </c>
      <c r="T929" s="216" t="s">
        <v>42</v>
      </c>
      <c r="U929" s="196" t="str">
        <f t="shared" si="291"/>
        <v>1 Days</v>
      </c>
    </row>
    <row r="930" spans="3:21" s="185" customFormat="1" ht="20.25" customHeight="1">
      <c r="C930" s="198">
        <f>D930</f>
        <v>930</v>
      </c>
      <c r="D930" s="203">
        <f t="shared" si="273"/>
        <v>930</v>
      </c>
      <c r="E930" s="204" t="s">
        <v>313</v>
      </c>
      <c r="F930" s="210">
        <f>D925</f>
        <v>925</v>
      </c>
      <c r="G930" s="206"/>
      <c r="H930" s="206"/>
      <c r="I930" s="208"/>
      <c r="J930" s="208"/>
      <c r="K930" s="234"/>
      <c r="L930" s="208"/>
      <c r="M930" s="217"/>
      <c r="N930" s="208"/>
      <c r="O930" s="218"/>
      <c r="P930" s="208"/>
      <c r="Q930" s="240">
        <f t="shared" si="289"/>
        <v>0</v>
      </c>
      <c r="R930" s="239"/>
      <c r="S930" s="240"/>
      <c r="T930" s="216"/>
      <c r="U930" s="196"/>
    </row>
    <row r="931" spans="3:21" s="185" customFormat="1" ht="20.25" customHeight="1">
      <c r="C931" s="198"/>
      <c r="D931" s="203">
        <f t="shared" si="273"/>
        <v>931</v>
      </c>
      <c r="E931" s="207" t="s">
        <v>314</v>
      </c>
      <c r="F931" s="211"/>
      <c r="G931" s="206" t="s">
        <v>286</v>
      </c>
      <c r="H931" s="206"/>
      <c r="I931" s="233">
        <f>I929</f>
        <v>18</v>
      </c>
      <c r="J931" s="211" t="str">
        <f>J926</f>
        <v>2500 mm</v>
      </c>
      <c r="K931" s="234">
        <v>1</v>
      </c>
      <c r="L931" s="208" t="s">
        <v>81</v>
      </c>
      <c r="M931" s="235">
        <f>K931</f>
        <v>1</v>
      </c>
      <c r="N931" s="208" t="s">
        <v>39</v>
      </c>
      <c r="O931" s="218">
        <v>3</v>
      </c>
      <c r="P931" s="208" t="s">
        <v>112</v>
      </c>
      <c r="Q931" s="240">
        <f t="shared" si="289"/>
        <v>3</v>
      </c>
      <c r="R931" s="239">
        <v>1</v>
      </c>
      <c r="S931" s="240">
        <f t="shared" si="290"/>
        <v>4</v>
      </c>
      <c r="T931" s="216" t="s">
        <v>48</v>
      </c>
      <c r="U931" s="196" t="str">
        <f t="shared" si="291"/>
        <v>4 Hrs</v>
      </c>
    </row>
    <row r="932" spans="3:21" s="185" customFormat="1" ht="20.25" customHeight="1">
      <c r="C932" s="198"/>
      <c r="D932" s="203">
        <f t="shared" si="273"/>
        <v>932</v>
      </c>
      <c r="E932" s="207" t="s">
        <v>314</v>
      </c>
      <c r="F932" s="211">
        <f t="shared" ref="F932:F934" si="295">D931</f>
        <v>931</v>
      </c>
      <c r="G932" s="206" t="s">
        <v>286</v>
      </c>
      <c r="H932" s="206"/>
      <c r="I932" s="233">
        <f>I929</f>
        <v>18</v>
      </c>
      <c r="J932" s="211" t="str">
        <f>J927</f>
        <v>2500 mm</v>
      </c>
      <c r="K932" s="234">
        <v>1</v>
      </c>
      <c r="L932" s="208" t="s">
        <v>81</v>
      </c>
      <c r="M932" s="235">
        <f>K932</f>
        <v>1</v>
      </c>
      <c r="N932" s="208" t="s">
        <v>39</v>
      </c>
      <c r="O932" s="246">
        <f>O931</f>
        <v>3</v>
      </c>
      <c r="P932" s="208" t="s">
        <v>112</v>
      </c>
      <c r="Q932" s="240">
        <f t="shared" si="289"/>
        <v>3</v>
      </c>
      <c r="R932" s="239">
        <v>1</v>
      </c>
      <c r="S932" s="240">
        <f t="shared" si="290"/>
        <v>4</v>
      </c>
      <c r="T932" s="216" t="s">
        <v>48</v>
      </c>
      <c r="U932" s="196" t="str">
        <f t="shared" si="291"/>
        <v>4 Hrs</v>
      </c>
    </row>
    <row r="933" spans="3:21" s="185" customFormat="1" ht="20.25" customHeight="1">
      <c r="C933" s="198"/>
      <c r="D933" s="203">
        <f t="shared" si="273"/>
        <v>933</v>
      </c>
      <c r="E933" s="207" t="s">
        <v>314</v>
      </c>
      <c r="F933" s="211">
        <f t="shared" si="295"/>
        <v>932</v>
      </c>
      <c r="G933" s="206" t="s">
        <v>286</v>
      </c>
      <c r="H933" s="206"/>
      <c r="I933" s="233">
        <f>I929</f>
        <v>18</v>
      </c>
      <c r="J933" s="211" t="str">
        <f>J928</f>
        <v>1250 mm</v>
      </c>
      <c r="K933" s="234">
        <v>1</v>
      </c>
      <c r="L933" s="208" t="s">
        <v>81</v>
      </c>
      <c r="M933" s="235">
        <f>K933</f>
        <v>1</v>
      </c>
      <c r="N933" s="208" t="s">
        <v>39</v>
      </c>
      <c r="O933" s="246">
        <f>O932</f>
        <v>3</v>
      </c>
      <c r="P933" s="208" t="s">
        <v>112</v>
      </c>
      <c r="Q933" s="240">
        <f t="shared" si="289"/>
        <v>3</v>
      </c>
      <c r="R933" s="239">
        <v>1</v>
      </c>
      <c r="S933" s="240">
        <f t="shared" si="290"/>
        <v>4</v>
      </c>
      <c r="T933" s="216" t="s">
        <v>48</v>
      </c>
      <c r="U933" s="196" t="str">
        <f t="shared" si="291"/>
        <v>4 Hrs</v>
      </c>
    </row>
    <row r="934" spans="3:21" s="185" customFormat="1" ht="20.25" customHeight="1">
      <c r="C934" s="198"/>
      <c r="D934" s="203">
        <f t="shared" si="273"/>
        <v>934</v>
      </c>
      <c r="E934" s="207" t="s">
        <v>314</v>
      </c>
      <c r="F934" s="211">
        <f t="shared" si="295"/>
        <v>933</v>
      </c>
      <c r="G934" s="206" t="s">
        <v>286</v>
      </c>
      <c r="H934" s="206"/>
      <c r="I934" s="233">
        <f>I929</f>
        <v>18</v>
      </c>
      <c r="J934" s="211" t="str">
        <f>J929</f>
        <v>0 mm</v>
      </c>
      <c r="K934" s="234">
        <v>1</v>
      </c>
      <c r="L934" s="208" t="s">
        <v>81</v>
      </c>
      <c r="M934" s="235">
        <f>K934</f>
        <v>1</v>
      </c>
      <c r="N934" s="208" t="s">
        <v>39</v>
      </c>
      <c r="O934" s="246">
        <f>O933</f>
        <v>3</v>
      </c>
      <c r="P934" s="208" t="s">
        <v>112</v>
      </c>
      <c r="Q934" s="240">
        <f t="shared" si="289"/>
        <v>3</v>
      </c>
      <c r="R934" s="239">
        <v>1</v>
      </c>
      <c r="S934" s="240">
        <f t="shared" si="290"/>
        <v>4</v>
      </c>
      <c r="T934" s="216" t="s">
        <v>48</v>
      </c>
      <c r="U934" s="196" t="str">
        <f t="shared" si="291"/>
        <v>4 Hrs</v>
      </c>
    </row>
    <row r="935" spans="3:21" s="185" customFormat="1" ht="20.25" customHeight="1">
      <c r="C935" s="198">
        <f>D935</f>
        <v>935</v>
      </c>
      <c r="D935" s="203">
        <f t="shared" si="273"/>
        <v>935</v>
      </c>
      <c r="E935" s="204" t="s">
        <v>315</v>
      </c>
      <c r="F935" s="210">
        <f>D930</f>
        <v>930</v>
      </c>
      <c r="G935" s="206"/>
      <c r="H935" s="206"/>
      <c r="I935" s="208"/>
      <c r="J935" s="208"/>
      <c r="K935" s="234"/>
      <c r="L935" s="208"/>
      <c r="M935" s="217"/>
      <c r="N935" s="208"/>
      <c r="O935" s="218"/>
      <c r="P935" s="208"/>
      <c r="Q935" s="240"/>
      <c r="R935" s="239"/>
      <c r="S935" s="240"/>
      <c r="T935" s="216"/>
      <c r="U935" s="196"/>
    </row>
    <row r="936" spans="3:21" s="185" customFormat="1" ht="20.25" customHeight="1">
      <c r="C936" s="198"/>
      <c r="D936" s="203">
        <f t="shared" si="273"/>
        <v>936</v>
      </c>
      <c r="E936" s="207" t="s">
        <v>316</v>
      </c>
      <c r="F936" s="211"/>
      <c r="G936" s="206" t="s">
        <v>44</v>
      </c>
      <c r="H936" s="206"/>
      <c r="I936" s="224">
        <v>18</v>
      </c>
      <c r="J936" s="225" t="s">
        <v>317</v>
      </c>
      <c r="K936" s="234">
        <v>1</v>
      </c>
      <c r="L936" s="208" t="s">
        <v>81</v>
      </c>
      <c r="M936" s="227">
        <f>LEFT(J936,SEARCH(" ",J936,1)-1)*3.142*K936*0.001</f>
        <v>4.9015199999999997</v>
      </c>
      <c r="N936" s="208" t="s">
        <v>139</v>
      </c>
      <c r="O936" s="246">
        <f>VLOOKUP(I936,BM!$A$2:$X$104,10,FALSE)</f>
        <v>1</v>
      </c>
      <c r="P936" s="208" t="s">
        <v>112</v>
      </c>
      <c r="Q936" s="240">
        <f t="shared" ref="Q936:Q939" si="296">M936*O936</f>
        <v>4.9015199999999997</v>
      </c>
      <c r="R936" s="239">
        <v>1</v>
      </c>
      <c r="S936" s="240">
        <f t="shared" si="290"/>
        <v>5.9</v>
      </c>
      <c r="T936" s="216" t="s">
        <v>48</v>
      </c>
      <c r="U936" s="196" t="str">
        <f t="shared" si="291"/>
        <v>5.9 Hrs</v>
      </c>
    </row>
    <row r="937" spans="3:21" s="185" customFormat="1" ht="20.25" customHeight="1">
      <c r="C937" s="198"/>
      <c r="D937" s="203">
        <f t="shared" si="273"/>
        <v>937</v>
      </c>
      <c r="E937" s="207" t="s">
        <v>316</v>
      </c>
      <c r="F937" s="211">
        <f t="shared" ref="F937:F939" si="297">D936</f>
        <v>936</v>
      </c>
      <c r="G937" s="206" t="s">
        <v>44</v>
      </c>
      <c r="H937" s="206"/>
      <c r="I937" s="224">
        <v>18</v>
      </c>
      <c r="J937" s="211" t="str">
        <f>J936</f>
        <v>1560 mm id</v>
      </c>
      <c r="K937" s="234">
        <v>1</v>
      </c>
      <c r="L937" s="208" t="s">
        <v>81</v>
      </c>
      <c r="M937" s="227">
        <f t="shared" ref="M937:M939" si="298">LEFT(J937,SEARCH(" ",J937,1)-1)*3.142*K937*0.001</f>
        <v>4.9015199999999997</v>
      </c>
      <c r="N937" s="208" t="s">
        <v>139</v>
      </c>
      <c r="O937" s="246">
        <f>VLOOKUP(I937,BM!$A$2:$X$104,10,FALSE)</f>
        <v>1</v>
      </c>
      <c r="P937" s="208" t="s">
        <v>112</v>
      </c>
      <c r="Q937" s="240">
        <f t="shared" si="296"/>
        <v>4.9015199999999997</v>
      </c>
      <c r="R937" s="239">
        <v>1</v>
      </c>
      <c r="S937" s="240">
        <f t="shared" si="290"/>
        <v>5.9</v>
      </c>
      <c r="T937" s="216" t="s">
        <v>48</v>
      </c>
      <c r="U937" s="196" t="str">
        <f t="shared" si="291"/>
        <v>5.9 Hrs</v>
      </c>
    </row>
    <row r="938" spans="3:21" s="185" customFormat="1" ht="20.25" customHeight="1">
      <c r="C938" s="198"/>
      <c r="D938" s="203">
        <f t="shared" si="273"/>
        <v>938</v>
      </c>
      <c r="E938" s="207" t="s">
        <v>316</v>
      </c>
      <c r="F938" s="211">
        <f t="shared" si="297"/>
        <v>937</v>
      </c>
      <c r="G938" s="206" t="s">
        <v>44</v>
      </c>
      <c r="H938" s="206"/>
      <c r="I938" s="224">
        <v>18</v>
      </c>
      <c r="J938" s="211" t="str">
        <f>J937</f>
        <v>1560 mm id</v>
      </c>
      <c r="K938" s="234">
        <v>1</v>
      </c>
      <c r="L938" s="208" t="s">
        <v>81</v>
      </c>
      <c r="M938" s="227">
        <f t="shared" si="298"/>
        <v>4.9015199999999997</v>
      </c>
      <c r="N938" s="208" t="s">
        <v>139</v>
      </c>
      <c r="O938" s="246">
        <f>VLOOKUP(I938,BM!$A$2:$X$104,10,FALSE)</f>
        <v>1</v>
      </c>
      <c r="P938" s="208" t="s">
        <v>112</v>
      </c>
      <c r="Q938" s="240">
        <f t="shared" si="296"/>
        <v>4.9015199999999997</v>
      </c>
      <c r="R938" s="239">
        <v>1</v>
      </c>
      <c r="S938" s="240">
        <f t="shared" si="290"/>
        <v>5.9</v>
      </c>
      <c r="T938" s="216" t="s">
        <v>48</v>
      </c>
      <c r="U938" s="196" t="str">
        <f t="shared" si="291"/>
        <v>5.9 Hrs</v>
      </c>
    </row>
    <row r="939" spans="3:21" s="185" customFormat="1" ht="20.25" customHeight="1">
      <c r="C939" s="198"/>
      <c r="D939" s="203">
        <f t="shared" si="273"/>
        <v>939</v>
      </c>
      <c r="E939" s="207" t="s">
        <v>316</v>
      </c>
      <c r="F939" s="211">
        <f t="shared" si="297"/>
        <v>938</v>
      </c>
      <c r="G939" s="206" t="s">
        <v>44</v>
      </c>
      <c r="H939" s="206"/>
      <c r="I939" s="224">
        <v>18</v>
      </c>
      <c r="J939" s="211" t="s">
        <v>318</v>
      </c>
      <c r="K939" s="234">
        <v>1</v>
      </c>
      <c r="L939" s="208" t="s">
        <v>81</v>
      </c>
      <c r="M939" s="227">
        <f t="shared" si="298"/>
        <v>0</v>
      </c>
      <c r="N939" s="208" t="s">
        <v>139</v>
      </c>
      <c r="O939" s="246">
        <f>VLOOKUP(I939,BM!$A$2:$X$104,10,FALSE)</f>
        <v>1</v>
      </c>
      <c r="P939" s="208" t="s">
        <v>112</v>
      </c>
      <c r="Q939" s="240">
        <f t="shared" si="296"/>
        <v>0</v>
      </c>
      <c r="R939" s="239">
        <v>1</v>
      </c>
      <c r="S939" s="240">
        <f t="shared" si="290"/>
        <v>1</v>
      </c>
      <c r="T939" s="216" t="s">
        <v>48</v>
      </c>
      <c r="U939" s="196" t="str">
        <f t="shared" si="291"/>
        <v>1 Hrs</v>
      </c>
    </row>
    <row r="940" spans="3:21" s="185" customFormat="1" ht="20.25" customHeight="1">
      <c r="C940" s="198">
        <f>D940</f>
        <v>940</v>
      </c>
      <c r="D940" s="203">
        <f t="shared" si="273"/>
        <v>940</v>
      </c>
      <c r="E940" s="204" t="s">
        <v>319</v>
      </c>
      <c r="F940" s="210">
        <f>D935</f>
        <v>935</v>
      </c>
      <c r="G940" s="206"/>
      <c r="H940" s="206"/>
      <c r="I940" s="208"/>
      <c r="J940" s="208"/>
      <c r="K940" s="234"/>
      <c r="L940" s="208"/>
      <c r="M940" s="217"/>
      <c r="N940" s="208"/>
      <c r="O940" s="218"/>
      <c r="P940" s="208"/>
      <c r="Q940" s="240"/>
      <c r="R940" s="239"/>
      <c r="S940" s="240"/>
      <c r="T940" s="216"/>
      <c r="U940" s="196"/>
    </row>
    <row r="941" spans="3:21" s="185" customFormat="1" ht="20.25" customHeight="1">
      <c r="C941" s="198"/>
      <c r="D941" s="203">
        <f t="shared" si="273"/>
        <v>941</v>
      </c>
      <c r="E941" s="207" t="s">
        <v>320</v>
      </c>
      <c r="F941" s="211"/>
      <c r="G941" s="206" t="s">
        <v>299</v>
      </c>
      <c r="H941" s="206"/>
      <c r="I941" s="224">
        <v>18</v>
      </c>
      <c r="J941" s="211" t="str">
        <f>J938</f>
        <v>1560 mm id</v>
      </c>
      <c r="K941" s="234">
        <v>1</v>
      </c>
      <c r="L941" s="208" t="s">
        <v>81</v>
      </c>
      <c r="M941" s="227">
        <f t="shared" ref="M941:M942" si="299">LEFT(J941,SEARCH(" ",J941,1)-1)*3.142*K941*0.001</f>
        <v>4.9015199999999997</v>
      </c>
      <c r="N941" s="208" t="s">
        <v>139</v>
      </c>
      <c r="O941" s="246">
        <f>VLOOKUP(I941,BM!$A$2:$X$104,10,FALSE)</f>
        <v>1</v>
      </c>
      <c r="P941" s="208" t="s">
        <v>112</v>
      </c>
      <c r="Q941" s="240">
        <f t="shared" ref="Q941:Q942" si="300">M941*O941</f>
        <v>4.9015199999999997</v>
      </c>
      <c r="R941" s="239">
        <v>1</v>
      </c>
      <c r="S941" s="240">
        <f t="shared" si="290"/>
        <v>5.9</v>
      </c>
      <c r="T941" s="216" t="s">
        <v>48</v>
      </c>
      <c r="U941" s="196" t="str">
        <f t="shared" si="291"/>
        <v>5.9 Hrs</v>
      </c>
    </row>
    <row r="942" spans="3:21" s="185" customFormat="1" ht="20.25" customHeight="1">
      <c r="C942" s="198"/>
      <c r="D942" s="203">
        <f t="shared" si="273"/>
        <v>942</v>
      </c>
      <c r="E942" s="207" t="s">
        <v>321</v>
      </c>
      <c r="F942" s="211">
        <f t="shared" ref="F942" si="301">D941</f>
        <v>941</v>
      </c>
      <c r="G942" s="206" t="s">
        <v>44</v>
      </c>
      <c r="H942" s="206"/>
      <c r="I942" s="224">
        <v>18</v>
      </c>
      <c r="J942" s="211" t="str">
        <f t="shared" ref="J942" si="302">J941</f>
        <v>1560 mm id</v>
      </c>
      <c r="K942" s="234">
        <v>1</v>
      </c>
      <c r="L942" s="208" t="s">
        <v>81</v>
      </c>
      <c r="M942" s="227">
        <f t="shared" si="299"/>
        <v>4.9015199999999997</v>
      </c>
      <c r="N942" s="208" t="s">
        <v>139</v>
      </c>
      <c r="O942" s="218">
        <v>1</v>
      </c>
      <c r="P942" s="208" t="s">
        <v>112</v>
      </c>
      <c r="Q942" s="240">
        <f t="shared" si="300"/>
        <v>4.9015199999999997</v>
      </c>
      <c r="R942" s="239">
        <v>1</v>
      </c>
      <c r="S942" s="240">
        <f t="shared" si="290"/>
        <v>5.9</v>
      </c>
      <c r="T942" s="216" t="s">
        <v>48</v>
      </c>
      <c r="U942" s="196" t="str">
        <f t="shared" si="291"/>
        <v>5.9 Hrs</v>
      </c>
    </row>
    <row r="943" spans="3:21" s="185" customFormat="1" ht="20.25" customHeight="1">
      <c r="C943" s="198">
        <f>D943</f>
        <v>943</v>
      </c>
      <c r="D943" s="203">
        <f t="shared" si="273"/>
        <v>943</v>
      </c>
      <c r="E943" s="204" t="s">
        <v>322</v>
      </c>
      <c r="F943" s="210">
        <f>D940</f>
        <v>940</v>
      </c>
      <c r="G943" s="206"/>
      <c r="H943" s="206"/>
      <c r="I943" s="208"/>
      <c r="J943" s="208"/>
      <c r="K943" s="234"/>
      <c r="L943" s="208"/>
      <c r="M943" s="217"/>
      <c r="N943" s="208"/>
      <c r="O943" s="218"/>
      <c r="P943" s="208"/>
      <c r="Q943" s="240"/>
      <c r="R943" s="239"/>
      <c r="S943" s="240"/>
      <c r="T943" s="216"/>
      <c r="U943" s="196"/>
    </row>
    <row r="944" spans="3:21" s="185" customFormat="1" ht="20.25" customHeight="1">
      <c r="C944" s="198"/>
      <c r="D944" s="203">
        <f t="shared" si="273"/>
        <v>944</v>
      </c>
      <c r="E944" s="207" t="s">
        <v>323</v>
      </c>
      <c r="F944" s="211"/>
      <c r="G944" s="206" t="s">
        <v>44</v>
      </c>
      <c r="H944" s="206"/>
      <c r="I944" s="224">
        <v>18</v>
      </c>
      <c r="J944" s="208" t="str">
        <f>J942</f>
        <v>1560 mm id</v>
      </c>
      <c r="K944" s="234">
        <v>1</v>
      </c>
      <c r="L944" s="208" t="s">
        <v>81</v>
      </c>
      <c r="M944" s="217">
        <v>1</v>
      </c>
      <c r="N944" s="208" t="s">
        <v>81</v>
      </c>
      <c r="O944" s="218">
        <v>1</v>
      </c>
      <c r="P944" s="208" t="s">
        <v>112</v>
      </c>
      <c r="Q944" s="240">
        <f t="shared" ref="Q944:Q948" si="303">M944*O944</f>
        <v>1</v>
      </c>
      <c r="R944" s="239">
        <v>1</v>
      </c>
      <c r="S944" s="240">
        <f t="shared" si="290"/>
        <v>2</v>
      </c>
      <c r="T944" s="216" t="s">
        <v>48</v>
      </c>
      <c r="U944" s="196" t="str">
        <f t="shared" si="291"/>
        <v>2 Hrs</v>
      </c>
    </row>
    <row r="945" spans="3:21" s="185" customFormat="1" ht="20.25" customHeight="1">
      <c r="C945" s="198"/>
      <c r="D945" s="203">
        <f t="shared" si="273"/>
        <v>945</v>
      </c>
      <c r="E945" s="207" t="s">
        <v>324</v>
      </c>
      <c r="F945" s="211">
        <f t="shared" ref="F945:F948" si="304">D944</f>
        <v>944</v>
      </c>
      <c r="G945" s="206" t="s">
        <v>115</v>
      </c>
      <c r="H945" s="206"/>
      <c r="I945" s="233">
        <f>12</f>
        <v>12</v>
      </c>
      <c r="J945" s="208" t="str">
        <f>J944</f>
        <v>1560 mm id</v>
      </c>
      <c r="K945" s="234">
        <v>1</v>
      </c>
      <c r="L945" s="208" t="s">
        <v>81</v>
      </c>
      <c r="M945" s="227">
        <f t="shared" ref="M945:M948" si="305">LEFT(J945,SEARCH(" ",J945,1)-1)*3.142*K945*0.001</f>
        <v>4.9015199999999997</v>
      </c>
      <c r="N945" s="208" t="s">
        <v>139</v>
      </c>
      <c r="O945" s="246">
        <f>VLOOKUP(I945,BM!$A$2:$X$104,17,FALSE)</f>
        <v>2.5</v>
      </c>
      <c r="P945" s="208" t="s">
        <v>112</v>
      </c>
      <c r="Q945" s="240">
        <f t="shared" si="303"/>
        <v>12.253799999999998</v>
      </c>
      <c r="R945" s="239">
        <v>1</v>
      </c>
      <c r="S945" s="240">
        <f t="shared" si="290"/>
        <v>13.25</v>
      </c>
      <c r="T945" s="216" t="s">
        <v>48</v>
      </c>
      <c r="U945" s="196" t="str">
        <f t="shared" si="291"/>
        <v>13.25 Hrs</v>
      </c>
    </row>
    <row r="946" spans="3:21" s="185" customFormat="1" ht="20.25" customHeight="1">
      <c r="C946" s="198"/>
      <c r="D946" s="203">
        <f t="shared" si="273"/>
        <v>946</v>
      </c>
      <c r="E946" s="207" t="s">
        <v>325</v>
      </c>
      <c r="F946" s="211">
        <f t="shared" si="304"/>
        <v>945</v>
      </c>
      <c r="G946" s="206" t="s">
        <v>61</v>
      </c>
      <c r="H946" s="206"/>
      <c r="I946" s="233">
        <f>18</f>
        <v>18</v>
      </c>
      <c r="J946" s="208" t="str">
        <f>J945</f>
        <v>1560 mm id</v>
      </c>
      <c r="K946" s="234">
        <v>1</v>
      </c>
      <c r="L946" s="208" t="s">
        <v>81</v>
      </c>
      <c r="M946" s="227">
        <f t="shared" si="305"/>
        <v>4.9015199999999997</v>
      </c>
      <c r="N946" s="208" t="s">
        <v>139</v>
      </c>
      <c r="O946" s="246">
        <f>VLOOKUP(I946,BM!$A$2:$X$104,18,FALSE)</f>
        <v>1</v>
      </c>
      <c r="P946" s="208" t="s">
        <v>112</v>
      </c>
      <c r="Q946" s="240">
        <f t="shared" si="303"/>
        <v>4.9015199999999997</v>
      </c>
      <c r="R946" s="239">
        <v>1</v>
      </c>
      <c r="S946" s="240">
        <f t="shared" si="290"/>
        <v>5.9</v>
      </c>
      <c r="T946" s="216" t="s">
        <v>48</v>
      </c>
      <c r="U946" s="196" t="str">
        <f t="shared" si="291"/>
        <v>5.9 Hrs</v>
      </c>
    </row>
    <row r="947" spans="3:21" s="185" customFormat="1" ht="20.25" customHeight="1">
      <c r="C947" s="198"/>
      <c r="D947" s="203">
        <f t="shared" si="273"/>
        <v>947</v>
      </c>
      <c r="E947" s="207" t="s">
        <v>326</v>
      </c>
      <c r="F947" s="211">
        <f t="shared" si="304"/>
        <v>946</v>
      </c>
      <c r="G947" s="206" t="s">
        <v>115</v>
      </c>
      <c r="H947" s="206"/>
      <c r="I947" s="224">
        <v>6</v>
      </c>
      <c r="J947" s="208" t="str">
        <f>J946</f>
        <v>1560 mm id</v>
      </c>
      <c r="K947" s="234">
        <v>1</v>
      </c>
      <c r="L947" s="208" t="s">
        <v>81</v>
      </c>
      <c r="M947" s="227">
        <f t="shared" si="305"/>
        <v>4.9015199999999997</v>
      </c>
      <c r="N947" s="208" t="s">
        <v>139</v>
      </c>
      <c r="O947" s="246">
        <f>VLOOKUP(I947,BM!$A$2:$X$104,17,FALSE)</f>
        <v>0.9</v>
      </c>
      <c r="P947" s="208" t="s">
        <v>112</v>
      </c>
      <c r="Q947" s="240">
        <f t="shared" si="303"/>
        <v>4.4113679999999995</v>
      </c>
      <c r="R947" s="239">
        <v>1</v>
      </c>
      <c r="S947" s="240">
        <f t="shared" si="290"/>
        <v>5.41</v>
      </c>
      <c r="T947" s="216" t="s">
        <v>48</v>
      </c>
      <c r="U947" s="196" t="str">
        <f t="shared" si="291"/>
        <v>5.41 Hrs</v>
      </c>
    </row>
    <row r="948" spans="3:21" s="185" customFormat="1" ht="20.25" customHeight="1">
      <c r="C948" s="198"/>
      <c r="D948" s="203">
        <f t="shared" si="273"/>
        <v>948</v>
      </c>
      <c r="E948" s="207" t="s">
        <v>327</v>
      </c>
      <c r="F948" s="211">
        <f t="shared" si="304"/>
        <v>947</v>
      </c>
      <c r="G948" s="206" t="s">
        <v>61</v>
      </c>
      <c r="H948" s="206"/>
      <c r="I948" s="224">
        <v>18</v>
      </c>
      <c r="J948" s="208" t="str">
        <f>J947</f>
        <v>1560 mm id</v>
      </c>
      <c r="K948" s="234">
        <v>1</v>
      </c>
      <c r="L948" s="208" t="s">
        <v>81</v>
      </c>
      <c r="M948" s="227">
        <f t="shared" si="305"/>
        <v>4.9015199999999997</v>
      </c>
      <c r="N948" s="208" t="s">
        <v>139</v>
      </c>
      <c r="O948" s="246">
        <f>VLOOKUP(I948,BM!$A$2:$X$104,20,FALSE)</f>
        <v>0.5</v>
      </c>
      <c r="P948" s="208" t="s">
        <v>112</v>
      </c>
      <c r="Q948" s="240">
        <f t="shared" si="303"/>
        <v>2.4507599999999998</v>
      </c>
      <c r="R948" s="239">
        <v>1</v>
      </c>
      <c r="S948" s="240">
        <f t="shared" si="290"/>
        <v>3.45</v>
      </c>
      <c r="T948" s="216" t="s">
        <v>48</v>
      </c>
      <c r="U948" s="196" t="str">
        <f t="shared" si="291"/>
        <v>3.45 Hrs</v>
      </c>
    </row>
    <row r="949" spans="3:21" s="185" customFormat="1" ht="20.25" customHeight="1">
      <c r="C949" s="198">
        <f>D949</f>
        <v>949</v>
      </c>
      <c r="D949" s="203">
        <f t="shared" si="273"/>
        <v>949</v>
      </c>
      <c r="E949" s="204" t="s">
        <v>328</v>
      </c>
      <c r="F949" s="210">
        <f>D943</f>
        <v>943</v>
      </c>
      <c r="G949" s="206"/>
      <c r="H949" s="206"/>
      <c r="I949" s="208"/>
      <c r="J949" s="208"/>
      <c r="K949" s="234"/>
      <c r="L949" s="208"/>
      <c r="M949" s="217"/>
      <c r="N949" s="208"/>
      <c r="O949" s="218"/>
      <c r="P949" s="208"/>
      <c r="Q949" s="240"/>
      <c r="R949" s="239"/>
      <c r="S949" s="240"/>
      <c r="T949" s="216"/>
      <c r="U949" s="196"/>
    </row>
    <row r="950" spans="3:21" s="185" customFormat="1" ht="20.25" customHeight="1">
      <c r="C950" s="198"/>
      <c r="D950" s="203">
        <f t="shared" si="273"/>
        <v>950</v>
      </c>
      <c r="E950" s="207" t="s">
        <v>329</v>
      </c>
      <c r="F950" s="211"/>
      <c r="G950" s="206" t="s">
        <v>299</v>
      </c>
      <c r="H950" s="206"/>
      <c r="I950" s="224">
        <v>18</v>
      </c>
      <c r="J950" s="208" t="str">
        <f>J948</f>
        <v>1560 mm id</v>
      </c>
      <c r="K950" s="234">
        <v>1</v>
      </c>
      <c r="L950" s="208" t="s">
        <v>81</v>
      </c>
      <c r="M950" s="227">
        <f t="shared" ref="M950:M951" si="306">LEFT(J950,SEARCH(" ",J950,1)-1)*3.142*K950*0.001</f>
        <v>4.9015199999999997</v>
      </c>
      <c r="N950" s="208" t="s">
        <v>139</v>
      </c>
      <c r="O950" s="246">
        <f>VLOOKUP(I950,BM!$A$2:$X$104,10,FALSE)</f>
        <v>1</v>
      </c>
      <c r="P950" s="208" t="s">
        <v>112</v>
      </c>
      <c r="Q950" s="240">
        <f t="shared" ref="Q950:Q957" si="307">M950*O950</f>
        <v>4.9015199999999997</v>
      </c>
      <c r="R950" s="239">
        <v>1</v>
      </c>
      <c r="S950" s="240">
        <f t="shared" si="290"/>
        <v>5.9</v>
      </c>
      <c r="T950" s="216" t="s">
        <v>48</v>
      </c>
      <c r="U950" s="196" t="str">
        <f t="shared" si="291"/>
        <v>5.9 Hrs</v>
      </c>
    </row>
    <row r="951" spans="3:21" s="185" customFormat="1" ht="20.25" customHeight="1">
      <c r="C951" s="198"/>
      <c r="D951" s="203">
        <f t="shared" si="273"/>
        <v>951</v>
      </c>
      <c r="E951" s="207" t="s">
        <v>330</v>
      </c>
      <c r="F951" s="211">
        <f t="shared" ref="F951" si="308">D950</f>
        <v>950</v>
      </c>
      <c r="G951" s="206" t="s">
        <v>44</v>
      </c>
      <c r="H951" s="206"/>
      <c r="I951" s="224">
        <v>18</v>
      </c>
      <c r="J951" s="208" t="str">
        <f>J948</f>
        <v>1560 mm id</v>
      </c>
      <c r="K951" s="234">
        <v>1</v>
      </c>
      <c r="L951" s="208" t="s">
        <v>81</v>
      </c>
      <c r="M951" s="227">
        <f t="shared" si="306"/>
        <v>4.9015199999999997</v>
      </c>
      <c r="N951" s="208" t="s">
        <v>139</v>
      </c>
      <c r="O951" s="218">
        <v>1</v>
      </c>
      <c r="P951" s="208" t="s">
        <v>112</v>
      </c>
      <c r="Q951" s="240">
        <f t="shared" si="307"/>
        <v>4.9015199999999997</v>
      </c>
      <c r="R951" s="239">
        <v>1</v>
      </c>
      <c r="S951" s="240">
        <f t="shared" si="290"/>
        <v>5.9</v>
      </c>
      <c r="T951" s="216" t="s">
        <v>48</v>
      </c>
      <c r="U951" s="196" t="str">
        <f t="shared" si="291"/>
        <v>5.9 Hrs</v>
      </c>
    </row>
    <row r="952" spans="3:21" s="185" customFormat="1" ht="20.25" customHeight="1">
      <c r="C952" s="198">
        <f>D952</f>
        <v>952</v>
      </c>
      <c r="D952" s="203">
        <f t="shared" si="273"/>
        <v>952</v>
      </c>
      <c r="E952" s="204" t="s">
        <v>331</v>
      </c>
      <c r="F952" s="210">
        <f>D949</f>
        <v>949</v>
      </c>
      <c r="G952" s="206"/>
      <c r="H952" s="206"/>
      <c r="I952" s="208"/>
      <c r="J952" s="208"/>
      <c r="K952" s="234"/>
      <c r="L952" s="208"/>
      <c r="M952" s="217"/>
      <c r="N952" s="208"/>
      <c r="O952" s="218"/>
      <c r="P952" s="208"/>
      <c r="Q952" s="240">
        <f t="shared" si="307"/>
        <v>0</v>
      </c>
      <c r="R952" s="239"/>
      <c r="S952" s="240"/>
      <c r="T952" s="216"/>
      <c r="U952" s="196"/>
    </row>
    <row r="953" spans="3:21" s="185" customFormat="1" ht="20.25" customHeight="1">
      <c r="C953" s="198"/>
      <c r="D953" s="203">
        <f t="shared" si="273"/>
        <v>953</v>
      </c>
      <c r="E953" s="207" t="s">
        <v>332</v>
      </c>
      <c r="F953" s="211"/>
      <c r="G953" s="206" t="s">
        <v>44</v>
      </c>
      <c r="H953" s="206"/>
      <c r="I953" s="224">
        <v>18</v>
      </c>
      <c r="J953" s="208" t="str">
        <f>J948</f>
        <v>1560 mm id</v>
      </c>
      <c r="K953" s="234">
        <v>1</v>
      </c>
      <c r="L953" s="208" t="s">
        <v>81</v>
      </c>
      <c r="M953" s="217">
        <v>1</v>
      </c>
      <c r="N953" s="208" t="s">
        <v>139</v>
      </c>
      <c r="O953" s="218">
        <v>1</v>
      </c>
      <c r="P953" s="208" t="s">
        <v>112</v>
      </c>
      <c r="Q953" s="240">
        <f t="shared" si="307"/>
        <v>1</v>
      </c>
      <c r="R953" s="239">
        <v>1</v>
      </c>
      <c r="S953" s="240">
        <f t="shared" si="290"/>
        <v>2</v>
      </c>
      <c r="T953" s="216" t="s">
        <v>48</v>
      </c>
      <c r="U953" s="196" t="str">
        <f t="shared" si="291"/>
        <v>2 Hrs</v>
      </c>
    </row>
    <row r="954" spans="3:21" s="185" customFormat="1" ht="20.25" customHeight="1">
      <c r="C954" s="198"/>
      <c r="D954" s="203">
        <f t="shared" si="273"/>
        <v>954</v>
      </c>
      <c r="E954" s="207" t="s">
        <v>333</v>
      </c>
      <c r="F954" s="211">
        <f t="shared" ref="F954:F957" si="309">D953</f>
        <v>953</v>
      </c>
      <c r="G954" s="206" t="s">
        <v>115</v>
      </c>
      <c r="H954" s="206"/>
      <c r="I954" s="233">
        <f>12</f>
        <v>12</v>
      </c>
      <c r="J954" s="208" t="str">
        <f>J951</f>
        <v>1560 mm id</v>
      </c>
      <c r="K954" s="234">
        <v>1</v>
      </c>
      <c r="L954" s="208" t="s">
        <v>81</v>
      </c>
      <c r="M954" s="227">
        <f t="shared" ref="M954:M957" si="310">LEFT(J954,SEARCH(" ",J954,1)-1)*3.142*K954*0.001</f>
        <v>4.9015199999999997</v>
      </c>
      <c r="N954" s="208" t="s">
        <v>139</v>
      </c>
      <c r="O954" s="246">
        <f>VLOOKUP(I954,BM!$A$2:$X$104,17,FALSE)</f>
        <v>2.5</v>
      </c>
      <c r="P954" s="208" t="s">
        <v>112</v>
      </c>
      <c r="Q954" s="240">
        <f t="shared" si="307"/>
        <v>12.253799999999998</v>
      </c>
      <c r="R954" s="239">
        <v>1</v>
      </c>
      <c r="S954" s="240">
        <f t="shared" si="290"/>
        <v>13.25</v>
      </c>
      <c r="T954" s="216" t="s">
        <v>48</v>
      </c>
      <c r="U954" s="196" t="str">
        <f t="shared" si="291"/>
        <v>13.25 Hrs</v>
      </c>
    </row>
    <row r="955" spans="3:21" s="185" customFormat="1" ht="20.25" customHeight="1">
      <c r="C955" s="198"/>
      <c r="D955" s="203">
        <f t="shared" si="273"/>
        <v>955</v>
      </c>
      <c r="E955" s="207" t="s">
        <v>334</v>
      </c>
      <c r="F955" s="211">
        <f t="shared" si="309"/>
        <v>954</v>
      </c>
      <c r="G955" s="206" t="s">
        <v>61</v>
      </c>
      <c r="H955" s="206"/>
      <c r="I955" s="233">
        <f>18</f>
        <v>18</v>
      </c>
      <c r="J955" s="208" t="str">
        <f>J954</f>
        <v>1560 mm id</v>
      </c>
      <c r="K955" s="234">
        <v>1</v>
      </c>
      <c r="L955" s="208" t="s">
        <v>81</v>
      </c>
      <c r="M955" s="227">
        <f t="shared" si="310"/>
        <v>4.9015199999999997</v>
      </c>
      <c r="N955" s="208" t="s">
        <v>139</v>
      </c>
      <c r="O955" s="246">
        <f>VLOOKUP(I955,BM!$A$2:$X$104,18,FALSE)</f>
        <v>1</v>
      </c>
      <c r="P955" s="208" t="s">
        <v>112</v>
      </c>
      <c r="Q955" s="240">
        <f t="shared" si="307"/>
        <v>4.9015199999999997</v>
      </c>
      <c r="R955" s="239">
        <v>1</v>
      </c>
      <c r="S955" s="240">
        <f t="shared" si="290"/>
        <v>5.9</v>
      </c>
      <c r="T955" s="216" t="s">
        <v>48</v>
      </c>
      <c r="U955" s="196" t="str">
        <f t="shared" si="291"/>
        <v>5.9 Hrs</v>
      </c>
    </row>
    <row r="956" spans="3:21" s="185" customFormat="1" ht="20.25" customHeight="1">
      <c r="C956" s="198"/>
      <c r="D956" s="203">
        <f t="shared" si="273"/>
        <v>956</v>
      </c>
      <c r="E956" s="207" t="s">
        <v>335</v>
      </c>
      <c r="F956" s="211">
        <f t="shared" si="309"/>
        <v>955</v>
      </c>
      <c r="G956" s="206" t="s">
        <v>115</v>
      </c>
      <c r="H956" s="206"/>
      <c r="I956" s="224">
        <v>6</v>
      </c>
      <c r="J956" s="208" t="str">
        <f>J955</f>
        <v>1560 mm id</v>
      </c>
      <c r="K956" s="234">
        <v>1</v>
      </c>
      <c r="L956" s="208" t="s">
        <v>81</v>
      </c>
      <c r="M956" s="227">
        <f t="shared" si="310"/>
        <v>4.9015199999999997</v>
      </c>
      <c r="N956" s="208" t="s">
        <v>139</v>
      </c>
      <c r="O956" s="246">
        <f>VLOOKUP(I956,BM!$A$2:$X$104,17,FALSE)</f>
        <v>0.9</v>
      </c>
      <c r="P956" s="208" t="s">
        <v>112</v>
      </c>
      <c r="Q956" s="240">
        <f t="shared" si="307"/>
        <v>4.4113679999999995</v>
      </c>
      <c r="R956" s="239">
        <v>1</v>
      </c>
      <c r="S956" s="240">
        <f t="shared" si="290"/>
        <v>5.41</v>
      </c>
      <c r="T956" s="216" t="s">
        <v>48</v>
      </c>
      <c r="U956" s="196" t="str">
        <f t="shared" si="291"/>
        <v>5.41 Hrs</v>
      </c>
    </row>
    <row r="957" spans="3:21" s="185" customFormat="1" ht="20.25" customHeight="1">
      <c r="C957" s="198"/>
      <c r="D957" s="203">
        <f t="shared" si="273"/>
        <v>957</v>
      </c>
      <c r="E957" s="207" t="s">
        <v>336</v>
      </c>
      <c r="F957" s="211">
        <f t="shared" si="309"/>
        <v>956</v>
      </c>
      <c r="G957" s="206" t="s">
        <v>61</v>
      </c>
      <c r="H957" s="206"/>
      <c r="I957" s="224">
        <v>18</v>
      </c>
      <c r="J957" s="208" t="str">
        <f>J956</f>
        <v>1560 mm id</v>
      </c>
      <c r="K957" s="234">
        <v>1</v>
      </c>
      <c r="L957" s="208" t="s">
        <v>81</v>
      </c>
      <c r="M957" s="227">
        <f t="shared" si="310"/>
        <v>4.9015199999999997</v>
      </c>
      <c r="N957" s="208" t="s">
        <v>139</v>
      </c>
      <c r="O957" s="246">
        <f>VLOOKUP(I957,BM!$A$2:$X$104,20,FALSE)</f>
        <v>0.5</v>
      </c>
      <c r="P957" s="208" t="s">
        <v>112</v>
      </c>
      <c r="Q957" s="240">
        <f t="shared" si="307"/>
        <v>2.4507599999999998</v>
      </c>
      <c r="R957" s="239">
        <v>1</v>
      </c>
      <c r="S957" s="240">
        <f t="shared" si="290"/>
        <v>3.45</v>
      </c>
      <c r="T957" s="216" t="s">
        <v>48</v>
      </c>
      <c r="U957" s="196" t="str">
        <f t="shared" si="291"/>
        <v>3.45 Hrs</v>
      </c>
    </row>
    <row r="958" spans="3:21" s="185" customFormat="1" ht="20.25" customHeight="1">
      <c r="C958" s="198">
        <f>D958</f>
        <v>958</v>
      </c>
      <c r="D958" s="203">
        <f t="shared" si="273"/>
        <v>958</v>
      </c>
      <c r="E958" s="204" t="s">
        <v>337</v>
      </c>
      <c r="F958" s="210">
        <f>D952</f>
        <v>952</v>
      </c>
      <c r="G958" s="206"/>
      <c r="H958" s="206"/>
      <c r="I958" s="208"/>
      <c r="J958" s="208"/>
      <c r="K958" s="234"/>
      <c r="L958" s="208"/>
      <c r="M958" s="217"/>
      <c r="N958" s="208"/>
      <c r="O958" s="218"/>
      <c r="P958" s="208"/>
      <c r="Q958" s="240"/>
      <c r="R958" s="239"/>
      <c r="S958" s="240"/>
      <c r="T958" s="216"/>
      <c r="U958" s="196"/>
    </row>
    <row r="959" spans="3:21" s="185" customFormat="1" ht="20.25" customHeight="1">
      <c r="C959" s="198"/>
      <c r="D959" s="203">
        <f t="shared" si="273"/>
        <v>959</v>
      </c>
      <c r="E959" s="207" t="s">
        <v>338</v>
      </c>
      <c r="F959" s="211"/>
      <c r="G959" s="206" t="s">
        <v>299</v>
      </c>
      <c r="H959" s="206"/>
      <c r="I959" s="224">
        <v>18</v>
      </c>
      <c r="J959" s="208" t="str">
        <f>J957</f>
        <v>1560 mm id</v>
      </c>
      <c r="K959" s="234">
        <v>1</v>
      </c>
      <c r="L959" s="208" t="s">
        <v>81</v>
      </c>
      <c r="M959" s="227">
        <f t="shared" ref="M959:M960" si="311">LEFT(J959,SEARCH(" ",J959,1)-1)*3.142*K959*0.001</f>
        <v>4.9015199999999997</v>
      </c>
      <c r="N959" s="208" t="s">
        <v>139</v>
      </c>
      <c r="O959" s="246">
        <f>VLOOKUP(I959,BM!$A$2:$X$104,10,FALSE)</f>
        <v>1</v>
      </c>
      <c r="P959" s="208" t="s">
        <v>112</v>
      </c>
      <c r="Q959" s="240">
        <f t="shared" ref="Q959:Q960" si="312">M959*O959</f>
        <v>4.9015199999999997</v>
      </c>
      <c r="R959" s="239">
        <v>1</v>
      </c>
      <c r="S959" s="240">
        <f t="shared" si="290"/>
        <v>5.9</v>
      </c>
      <c r="T959" s="216" t="s">
        <v>48</v>
      </c>
      <c r="U959" s="196" t="str">
        <f t="shared" si="291"/>
        <v>5.9 Hrs</v>
      </c>
    </row>
    <row r="960" spans="3:21" s="185" customFormat="1" ht="20.25" customHeight="1">
      <c r="C960" s="198"/>
      <c r="D960" s="203">
        <f t="shared" si="273"/>
        <v>960</v>
      </c>
      <c r="E960" s="207" t="s">
        <v>339</v>
      </c>
      <c r="F960" s="211">
        <f t="shared" ref="F960" si="313">D959</f>
        <v>959</v>
      </c>
      <c r="G960" s="206" t="s">
        <v>44</v>
      </c>
      <c r="H960" s="206"/>
      <c r="I960" s="224">
        <v>18</v>
      </c>
      <c r="J960" s="208" t="str">
        <f>J957</f>
        <v>1560 mm id</v>
      </c>
      <c r="K960" s="234">
        <v>1</v>
      </c>
      <c r="L960" s="208" t="s">
        <v>81</v>
      </c>
      <c r="M960" s="227">
        <f t="shared" si="311"/>
        <v>4.9015199999999997</v>
      </c>
      <c r="N960" s="208" t="s">
        <v>139</v>
      </c>
      <c r="O960" s="218">
        <v>1</v>
      </c>
      <c r="P960" s="208" t="s">
        <v>112</v>
      </c>
      <c r="Q960" s="240">
        <f t="shared" si="312"/>
        <v>4.9015199999999997</v>
      </c>
      <c r="R960" s="239">
        <v>1</v>
      </c>
      <c r="S960" s="240">
        <f t="shared" si="290"/>
        <v>5.9</v>
      </c>
      <c r="T960" s="216" t="s">
        <v>48</v>
      </c>
      <c r="U960" s="196" t="str">
        <f t="shared" si="291"/>
        <v>5.9 Hrs</v>
      </c>
    </row>
    <row r="961" spans="3:21" s="185" customFormat="1" ht="20.25" customHeight="1">
      <c r="C961" s="198">
        <f>D961</f>
        <v>961</v>
      </c>
      <c r="D961" s="203">
        <f t="shared" si="273"/>
        <v>961</v>
      </c>
      <c r="E961" s="204" t="s">
        <v>340</v>
      </c>
      <c r="F961" s="210">
        <f>D958</f>
        <v>958</v>
      </c>
      <c r="G961" s="206"/>
      <c r="H961" s="206"/>
      <c r="I961" s="208"/>
      <c r="J961" s="208"/>
      <c r="K961" s="234"/>
      <c r="L961" s="208"/>
      <c r="M961" s="217"/>
      <c r="N961" s="208"/>
      <c r="O961" s="218"/>
      <c r="P961" s="208"/>
      <c r="Q961" s="240"/>
      <c r="R961" s="239"/>
      <c r="S961" s="240"/>
      <c r="T961" s="216"/>
      <c r="U961" s="196"/>
    </row>
    <row r="962" spans="3:21" s="185" customFormat="1" ht="20.25" customHeight="1">
      <c r="C962" s="198"/>
      <c r="D962" s="203">
        <f t="shared" si="273"/>
        <v>962</v>
      </c>
      <c r="E962" s="207" t="s">
        <v>341</v>
      </c>
      <c r="F962" s="211"/>
      <c r="G962" s="206" t="s">
        <v>44</v>
      </c>
      <c r="H962" s="206"/>
      <c r="I962" s="224">
        <v>18</v>
      </c>
      <c r="J962" s="208" t="str">
        <f>J960</f>
        <v>1560 mm id</v>
      </c>
      <c r="K962" s="234">
        <v>1</v>
      </c>
      <c r="L962" s="208" t="s">
        <v>81</v>
      </c>
      <c r="M962" s="217">
        <v>1</v>
      </c>
      <c r="N962" s="208" t="s">
        <v>139</v>
      </c>
      <c r="O962" s="218">
        <v>1</v>
      </c>
      <c r="P962" s="208" t="s">
        <v>112</v>
      </c>
      <c r="Q962" s="240">
        <f t="shared" ref="Q962:Q966" si="314">M962*O962</f>
        <v>1</v>
      </c>
      <c r="R962" s="239">
        <v>1</v>
      </c>
      <c r="S962" s="240">
        <f t="shared" si="290"/>
        <v>2</v>
      </c>
      <c r="T962" s="216" t="s">
        <v>48</v>
      </c>
      <c r="U962" s="196" t="str">
        <f t="shared" si="291"/>
        <v>2 Hrs</v>
      </c>
    </row>
    <row r="963" spans="3:21" s="185" customFormat="1" ht="20.25" customHeight="1">
      <c r="C963" s="198"/>
      <c r="D963" s="203">
        <f t="shared" si="273"/>
        <v>963</v>
      </c>
      <c r="E963" s="207" t="s">
        <v>342</v>
      </c>
      <c r="F963" s="211">
        <f t="shared" ref="F963:F966" si="315">D962</f>
        <v>962</v>
      </c>
      <c r="G963" s="206" t="s">
        <v>115</v>
      </c>
      <c r="H963" s="206"/>
      <c r="I963" s="233">
        <f>12</f>
        <v>12</v>
      </c>
      <c r="J963" s="208" t="str">
        <f>J962</f>
        <v>1560 mm id</v>
      </c>
      <c r="K963" s="234">
        <v>1</v>
      </c>
      <c r="L963" s="208" t="s">
        <v>81</v>
      </c>
      <c r="M963" s="227">
        <f t="shared" ref="M963:M966" si="316">LEFT(J963,SEARCH(" ",J963,1)-1)*3.142*K963*0.001</f>
        <v>4.9015199999999997</v>
      </c>
      <c r="N963" s="208" t="s">
        <v>139</v>
      </c>
      <c r="O963" s="246">
        <f>VLOOKUP(I963,BM!$A$2:$X$104,17,FALSE)</f>
        <v>2.5</v>
      </c>
      <c r="P963" s="208" t="s">
        <v>112</v>
      </c>
      <c r="Q963" s="240">
        <f t="shared" si="314"/>
        <v>12.253799999999998</v>
      </c>
      <c r="R963" s="239">
        <v>1</v>
      </c>
      <c r="S963" s="240">
        <f t="shared" si="290"/>
        <v>13.25</v>
      </c>
      <c r="T963" s="216" t="s">
        <v>48</v>
      </c>
      <c r="U963" s="196" t="str">
        <f t="shared" si="291"/>
        <v>13.25 Hrs</v>
      </c>
    </row>
    <row r="964" spans="3:21" s="185" customFormat="1" ht="20.25" customHeight="1">
      <c r="C964" s="198"/>
      <c r="D964" s="203">
        <f t="shared" ref="D964:D1027" si="317">D963+1</f>
        <v>964</v>
      </c>
      <c r="E964" s="207" t="s">
        <v>343</v>
      </c>
      <c r="F964" s="211">
        <f t="shared" si="315"/>
        <v>963</v>
      </c>
      <c r="G964" s="206" t="s">
        <v>61</v>
      </c>
      <c r="H964" s="206"/>
      <c r="I964" s="233">
        <f>18</f>
        <v>18</v>
      </c>
      <c r="J964" s="208" t="str">
        <f>J963</f>
        <v>1560 mm id</v>
      </c>
      <c r="K964" s="234">
        <v>1</v>
      </c>
      <c r="L964" s="208" t="s">
        <v>81</v>
      </c>
      <c r="M964" s="227">
        <f t="shared" si="316"/>
        <v>4.9015199999999997</v>
      </c>
      <c r="N964" s="208" t="s">
        <v>139</v>
      </c>
      <c r="O964" s="246">
        <f>VLOOKUP(I964,BM!$A$2:$X$104,18,FALSE)</f>
        <v>1</v>
      </c>
      <c r="P964" s="208" t="s">
        <v>112</v>
      </c>
      <c r="Q964" s="240">
        <f t="shared" si="314"/>
        <v>4.9015199999999997</v>
      </c>
      <c r="R964" s="239">
        <v>1</v>
      </c>
      <c r="S964" s="240">
        <f t="shared" si="290"/>
        <v>5.9</v>
      </c>
      <c r="T964" s="216" t="s">
        <v>48</v>
      </c>
      <c r="U964" s="196" t="str">
        <f t="shared" si="291"/>
        <v>5.9 Hrs</v>
      </c>
    </row>
    <row r="965" spans="3:21" s="185" customFormat="1" ht="20.25" customHeight="1">
      <c r="C965" s="198"/>
      <c r="D965" s="203">
        <f t="shared" si="317"/>
        <v>965</v>
      </c>
      <c r="E965" s="207" t="s">
        <v>344</v>
      </c>
      <c r="F965" s="211">
        <f t="shared" si="315"/>
        <v>964</v>
      </c>
      <c r="G965" s="206" t="s">
        <v>115</v>
      </c>
      <c r="H965" s="206"/>
      <c r="I965" s="224">
        <v>6</v>
      </c>
      <c r="J965" s="208" t="str">
        <f>J964</f>
        <v>1560 mm id</v>
      </c>
      <c r="K965" s="234">
        <v>1</v>
      </c>
      <c r="L965" s="208" t="s">
        <v>81</v>
      </c>
      <c r="M965" s="227">
        <f t="shared" si="316"/>
        <v>4.9015199999999997</v>
      </c>
      <c r="N965" s="208" t="s">
        <v>139</v>
      </c>
      <c r="O965" s="246">
        <f>VLOOKUP(I965,BM!$A$2:$X$104,17,FALSE)</f>
        <v>0.9</v>
      </c>
      <c r="P965" s="208" t="s">
        <v>112</v>
      </c>
      <c r="Q965" s="240">
        <f t="shared" si="314"/>
        <v>4.4113679999999995</v>
      </c>
      <c r="R965" s="239">
        <v>1</v>
      </c>
      <c r="S965" s="240">
        <f t="shared" si="290"/>
        <v>5.41</v>
      </c>
      <c r="T965" s="216" t="s">
        <v>48</v>
      </c>
      <c r="U965" s="196" t="str">
        <f t="shared" si="291"/>
        <v>5.41 Hrs</v>
      </c>
    </row>
    <row r="966" spans="3:21" s="185" customFormat="1" ht="20.25" customHeight="1">
      <c r="C966" s="198"/>
      <c r="D966" s="203">
        <f t="shared" si="317"/>
        <v>966</v>
      </c>
      <c r="E966" s="207" t="s">
        <v>345</v>
      </c>
      <c r="F966" s="211">
        <f t="shared" si="315"/>
        <v>965</v>
      </c>
      <c r="G966" s="206" t="s">
        <v>61</v>
      </c>
      <c r="H966" s="206"/>
      <c r="I966" s="224">
        <v>18</v>
      </c>
      <c r="J966" s="208" t="str">
        <f>J965</f>
        <v>1560 mm id</v>
      </c>
      <c r="K966" s="234">
        <v>1</v>
      </c>
      <c r="L966" s="208" t="s">
        <v>81</v>
      </c>
      <c r="M966" s="227">
        <f t="shared" si="316"/>
        <v>4.9015199999999997</v>
      </c>
      <c r="N966" s="208" t="s">
        <v>139</v>
      </c>
      <c r="O966" s="246">
        <f>VLOOKUP(I966,BM!$A$2:$X$104,20,FALSE)</f>
        <v>0.5</v>
      </c>
      <c r="P966" s="208" t="s">
        <v>112</v>
      </c>
      <c r="Q966" s="240">
        <f t="shared" si="314"/>
        <v>2.4507599999999998</v>
      </c>
      <c r="R966" s="239">
        <v>1</v>
      </c>
      <c r="S966" s="240">
        <f t="shared" si="290"/>
        <v>3.45</v>
      </c>
      <c r="T966" s="216" t="s">
        <v>48</v>
      </c>
      <c r="U966" s="196" t="str">
        <f t="shared" si="291"/>
        <v>3.45 Hrs</v>
      </c>
    </row>
    <row r="967" spans="3:21" s="185" customFormat="1" ht="20.25" customHeight="1">
      <c r="C967" s="198">
        <f>D967</f>
        <v>967</v>
      </c>
      <c r="D967" s="203">
        <f t="shared" si="317"/>
        <v>967</v>
      </c>
      <c r="E967" s="204" t="s">
        <v>346</v>
      </c>
      <c r="F967" s="210">
        <f>D961</f>
        <v>961</v>
      </c>
      <c r="G967" s="206"/>
      <c r="H967" s="206"/>
      <c r="I967" s="208"/>
      <c r="J967" s="208"/>
      <c r="K967" s="234"/>
      <c r="L967" s="208"/>
      <c r="M967" s="217"/>
      <c r="N967" s="208"/>
      <c r="O967" s="218"/>
      <c r="P967" s="208"/>
      <c r="Q967" s="240"/>
      <c r="R967" s="239"/>
      <c r="S967" s="240"/>
      <c r="T967" s="216"/>
      <c r="U967" s="196"/>
    </row>
    <row r="968" spans="3:21" s="185" customFormat="1" ht="20.25" customHeight="1">
      <c r="C968" s="198"/>
      <c r="D968" s="203">
        <f t="shared" si="317"/>
        <v>968</v>
      </c>
      <c r="E968" s="207" t="s">
        <v>347</v>
      </c>
      <c r="F968" s="211"/>
      <c r="G968" s="206" t="s">
        <v>348</v>
      </c>
      <c r="H968" s="206"/>
      <c r="I968" s="224">
        <v>18</v>
      </c>
      <c r="J968" s="208" t="str">
        <f>J966</f>
        <v>1560 mm id</v>
      </c>
      <c r="K968" s="234">
        <v>1</v>
      </c>
      <c r="L968" s="208" t="s">
        <v>39</v>
      </c>
      <c r="M968" s="217">
        <v>1</v>
      </c>
      <c r="N968" s="208" t="s">
        <v>39</v>
      </c>
      <c r="O968" s="218">
        <v>4</v>
      </c>
      <c r="P968" s="208" t="s">
        <v>112</v>
      </c>
      <c r="Q968" s="240">
        <f t="shared" ref="Q968:Q970" si="318">M968*O968</f>
        <v>4</v>
      </c>
      <c r="R968" s="239">
        <v>1</v>
      </c>
      <c r="S968" s="240">
        <f t="shared" si="290"/>
        <v>5</v>
      </c>
      <c r="T968" s="216" t="s">
        <v>48</v>
      </c>
      <c r="U968" s="196" t="str">
        <f t="shared" si="291"/>
        <v>5 Hrs</v>
      </c>
    </row>
    <row r="969" spans="3:21" s="185" customFormat="1" ht="20.25" customHeight="1">
      <c r="C969" s="198"/>
      <c r="D969" s="203">
        <f t="shared" si="317"/>
        <v>969</v>
      </c>
      <c r="E969" s="207" t="s">
        <v>349</v>
      </c>
      <c r="F969" s="211">
        <f t="shared" ref="F969:F970" si="319">D968</f>
        <v>968</v>
      </c>
      <c r="G969" s="206" t="s">
        <v>52</v>
      </c>
      <c r="H969" s="206"/>
      <c r="I969" s="224">
        <v>18</v>
      </c>
      <c r="J969" s="208" t="str">
        <f>J968</f>
        <v>1560 mm id</v>
      </c>
      <c r="K969" s="234">
        <v>1</v>
      </c>
      <c r="L969" s="208" t="s">
        <v>39</v>
      </c>
      <c r="M969" s="227">
        <f t="shared" ref="M969:M970" si="320">LEFT(J969,SEARCH(" ",J969,1)-1)*3.142*K969*0.001</f>
        <v>4.9015199999999997</v>
      </c>
      <c r="N969" s="208" t="s">
        <v>139</v>
      </c>
      <c r="O969" s="246">
        <f>VLOOKUP(I969,BM!$A$2:$X$104,5,FALSE)</f>
        <v>0.5</v>
      </c>
      <c r="P969" s="208" t="s">
        <v>112</v>
      </c>
      <c r="Q969" s="240">
        <f t="shared" si="318"/>
        <v>2.4507599999999998</v>
      </c>
      <c r="R969" s="239">
        <v>1</v>
      </c>
      <c r="S969" s="240">
        <f t="shared" si="290"/>
        <v>3.45</v>
      </c>
      <c r="T969" s="216" t="s">
        <v>48</v>
      </c>
      <c r="U969" s="196" t="str">
        <f t="shared" si="291"/>
        <v>3.45 Hrs</v>
      </c>
    </row>
    <row r="970" spans="3:21" s="185" customFormat="1" ht="20.25" customHeight="1">
      <c r="C970" s="198"/>
      <c r="D970" s="203">
        <f t="shared" si="317"/>
        <v>970</v>
      </c>
      <c r="E970" s="207" t="s">
        <v>350</v>
      </c>
      <c r="F970" s="211">
        <f t="shared" si="319"/>
        <v>969</v>
      </c>
      <c r="G970" s="206" t="s">
        <v>121</v>
      </c>
      <c r="H970" s="206"/>
      <c r="I970" s="224">
        <v>18</v>
      </c>
      <c r="J970" s="208" t="str">
        <f>J969</f>
        <v>1560 mm id</v>
      </c>
      <c r="K970" s="234">
        <v>1</v>
      </c>
      <c r="L970" s="208" t="s">
        <v>39</v>
      </c>
      <c r="M970" s="227">
        <f t="shared" si="320"/>
        <v>4.9015199999999997</v>
      </c>
      <c r="N970" s="208" t="s">
        <v>139</v>
      </c>
      <c r="O970" s="246">
        <f>VLOOKUP(I970,BM!$A$2:$X$104,5,FALSE)</f>
        <v>0.5</v>
      </c>
      <c r="P970" s="208" t="s">
        <v>112</v>
      </c>
      <c r="Q970" s="240">
        <f t="shared" si="318"/>
        <v>2.4507599999999998</v>
      </c>
      <c r="R970" s="239">
        <v>1</v>
      </c>
      <c r="S970" s="240">
        <f t="shared" si="290"/>
        <v>3.45</v>
      </c>
      <c r="T970" s="216" t="s">
        <v>48</v>
      </c>
      <c r="U970" s="196" t="str">
        <f t="shared" si="291"/>
        <v>3.45 Hrs</v>
      </c>
    </row>
    <row r="971" spans="3:21" s="185" customFormat="1" ht="20.25" customHeight="1">
      <c r="C971" s="198">
        <f>D971</f>
        <v>971</v>
      </c>
      <c r="D971" s="203">
        <f t="shared" si="317"/>
        <v>971</v>
      </c>
      <c r="E971" s="204" t="s">
        <v>351</v>
      </c>
      <c r="F971" s="210">
        <f>D967</f>
        <v>967</v>
      </c>
      <c r="G971" s="206"/>
      <c r="H971" s="206"/>
      <c r="I971" s="208"/>
      <c r="J971" s="208"/>
      <c r="K971" s="234"/>
      <c r="L971" s="208"/>
      <c r="M971" s="217"/>
      <c r="N971" s="208"/>
      <c r="O971" s="218"/>
      <c r="P971" s="208"/>
      <c r="Q971" s="240"/>
      <c r="R971" s="239"/>
      <c r="S971" s="240"/>
      <c r="T971" s="216"/>
      <c r="U971" s="196"/>
    </row>
    <row r="972" spans="3:21" s="185" customFormat="1" ht="20.25" customHeight="1">
      <c r="C972" s="198"/>
      <c r="D972" s="203">
        <f t="shared" si="317"/>
        <v>972</v>
      </c>
      <c r="E972" s="207" t="s">
        <v>352</v>
      </c>
      <c r="F972" s="211"/>
      <c r="G972" s="206" t="s">
        <v>299</v>
      </c>
      <c r="H972" s="206"/>
      <c r="I972" s="224">
        <v>18</v>
      </c>
      <c r="J972" s="208" t="str">
        <f>J970</f>
        <v>1560 mm id</v>
      </c>
      <c r="K972" s="234">
        <v>1</v>
      </c>
      <c r="L972" s="208" t="s">
        <v>81</v>
      </c>
      <c r="M972" s="227">
        <f t="shared" ref="M972:M973" si="321">LEFT(J972,SEARCH(" ",J972,1)-1)*3.142*K972*0.001</f>
        <v>4.9015199999999997</v>
      </c>
      <c r="N972" s="208" t="s">
        <v>139</v>
      </c>
      <c r="O972" s="246">
        <f>VLOOKUP(I972,BM!$A$2:$X$104,10,FALSE)</f>
        <v>1</v>
      </c>
      <c r="P972" s="208" t="s">
        <v>112</v>
      </c>
      <c r="Q972" s="240">
        <f t="shared" ref="Q972:Q973" si="322">M972*O972</f>
        <v>4.9015199999999997</v>
      </c>
      <c r="R972" s="239">
        <v>1</v>
      </c>
      <c r="S972" s="240">
        <f t="shared" si="290"/>
        <v>5.9</v>
      </c>
      <c r="T972" s="216" t="s">
        <v>48</v>
      </c>
      <c r="U972" s="196" t="str">
        <f t="shared" si="291"/>
        <v>5.9 Hrs</v>
      </c>
    </row>
    <row r="973" spans="3:21" s="185" customFormat="1" ht="20.25" customHeight="1">
      <c r="C973" s="198"/>
      <c r="D973" s="203">
        <f t="shared" si="317"/>
        <v>973</v>
      </c>
      <c r="E973" s="207" t="s">
        <v>353</v>
      </c>
      <c r="F973" s="211">
        <f t="shared" ref="F973" si="323">D972</f>
        <v>972</v>
      </c>
      <c r="G973" s="206" t="s">
        <v>44</v>
      </c>
      <c r="H973" s="206"/>
      <c r="I973" s="224">
        <v>18</v>
      </c>
      <c r="J973" s="208" t="str">
        <f>J970</f>
        <v>1560 mm id</v>
      </c>
      <c r="K973" s="234">
        <v>1</v>
      </c>
      <c r="L973" s="208" t="s">
        <v>81</v>
      </c>
      <c r="M973" s="227">
        <f t="shared" si="321"/>
        <v>4.9015199999999997</v>
      </c>
      <c r="N973" s="208" t="s">
        <v>139</v>
      </c>
      <c r="O973" s="218">
        <v>1</v>
      </c>
      <c r="P973" s="208" t="s">
        <v>112</v>
      </c>
      <c r="Q973" s="240">
        <f t="shared" si="322"/>
        <v>4.9015199999999997</v>
      </c>
      <c r="R973" s="239">
        <v>1</v>
      </c>
      <c r="S973" s="240">
        <f t="shared" si="290"/>
        <v>5.9</v>
      </c>
      <c r="T973" s="216" t="s">
        <v>48</v>
      </c>
      <c r="U973" s="196" t="str">
        <f t="shared" si="291"/>
        <v>5.9 Hrs</v>
      </c>
    </row>
    <row r="974" spans="3:21" s="185" customFormat="1" ht="20.25" customHeight="1">
      <c r="C974" s="198">
        <f>D974</f>
        <v>974</v>
      </c>
      <c r="D974" s="203">
        <f t="shared" si="317"/>
        <v>974</v>
      </c>
      <c r="E974" s="204" t="s">
        <v>354</v>
      </c>
      <c r="F974" s="210">
        <f>D971</f>
        <v>971</v>
      </c>
      <c r="G974" s="206"/>
      <c r="H974" s="206"/>
      <c r="I974" s="208"/>
      <c r="J974" s="208"/>
      <c r="K974" s="234"/>
      <c r="L974" s="208"/>
      <c r="M974" s="217"/>
      <c r="N974" s="208"/>
      <c r="O974" s="218"/>
      <c r="P974" s="208"/>
      <c r="Q974" s="240"/>
      <c r="R974" s="239"/>
      <c r="S974" s="240"/>
      <c r="T974" s="216"/>
      <c r="U974" s="196"/>
    </row>
    <row r="975" spans="3:21" s="185" customFormat="1" ht="20.25" customHeight="1">
      <c r="C975" s="198"/>
      <c r="D975" s="203">
        <f t="shared" si="317"/>
        <v>975</v>
      </c>
      <c r="E975" s="207" t="s">
        <v>323</v>
      </c>
      <c r="F975" s="211">
        <f t="shared" ref="F975:F979" si="324">D974</f>
        <v>974</v>
      </c>
      <c r="G975" s="206" t="s">
        <v>44</v>
      </c>
      <c r="H975" s="206"/>
      <c r="I975" s="224">
        <v>12</v>
      </c>
      <c r="J975" s="208" t="str">
        <f>J973</f>
        <v>1560 mm id</v>
      </c>
      <c r="K975" s="234">
        <v>1</v>
      </c>
      <c r="L975" s="208" t="s">
        <v>81</v>
      </c>
      <c r="M975" s="217">
        <v>1</v>
      </c>
      <c r="N975" s="208" t="s">
        <v>139</v>
      </c>
      <c r="O975" s="218">
        <v>1</v>
      </c>
      <c r="P975" s="208" t="s">
        <v>112</v>
      </c>
      <c r="Q975" s="240">
        <f t="shared" ref="Q975:Q979" si="325">M975*O975</f>
        <v>1</v>
      </c>
      <c r="R975" s="239">
        <v>1</v>
      </c>
      <c r="S975" s="240">
        <f t="shared" si="290"/>
        <v>2</v>
      </c>
      <c r="T975" s="216" t="s">
        <v>48</v>
      </c>
      <c r="U975" s="196" t="str">
        <f t="shared" si="291"/>
        <v>2 Hrs</v>
      </c>
    </row>
    <row r="976" spans="3:21" s="185" customFormat="1" ht="20.25" customHeight="1">
      <c r="C976" s="198"/>
      <c r="D976" s="203">
        <f t="shared" si="317"/>
        <v>976</v>
      </c>
      <c r="E976" s="207" t="s">
        <v>355</v>
      </c>
      <c r="F976" s="211"/>
      <c r="G976" s="206" t="s">
        <v>115</v>
      </c>
      <c r="H976" s="206"/>
      <c r="I976" s="224">
        <v>12</v>
      </c>
      <c r="J976" s="208" t="str">
        <f>J975</f>
        <v>1560 mm id</v>
      </c>
      <c r="K976" s="234">
        <v>1</v>
      </c>
      <c r="L976" s="208" t="s">
        <v>81</v>
      </c>
      <c r="M976" s="227">
        <f t="shared" ref="M976:M979" si="326">LEFT(J976,SEARCH(" ",J976,1)-1)*3.142*K976*0.001</f>
        <v>4.9015199999999997</v>
      </c>
      <c r="N976" s="208" t="s">
        <v>139</v>
      </c>
      <c r="O976" s="246">
        <f>VLOOKUP(I976,BM!$A$2:$X$104,17,FALSE)</f>
        <v>2.5</v>
      </c>
      <c r="P976" s="208" t="s">
        <v>112</v>
      </c>
      <c r="Q976" s="240">
        <f t="shared" si="325"/>
        <v>12.253799999999998</v>
      </c>
      <c r="R976" s="239">
        <v>1</v>
      </c>
      <c r="S976" s="240">
        <f t="shared" si="290"/>
        <v>13.25</v>
      </c>
      <c r="T976" s="216" t="s">
        <v>48</v>
      </c>
      <c r="U976" s="196" t="str">
        <f t="shared" si="291"/>
        <v>13.25 Hrs</v>
      </c>
    </row>
    <row r="977" spans="3:21" s="185" customFormat="1" ht="20.25" customHeight="1">
      <c r="C977" s="198"/>
      <c r="D977" s="203">
        <f t="shared" si="317"/>
        <v>977</v>
      </c>
      <c r="E977" s="207" t="s">
        <v>356</v>
      </c>
      <c r="F977" s="211">
        <f t="shared" si="324"/>
        <v>976</v>
      </c>
      <c r="G977" s="206" t="s">
        <v>61</v>
      </c>
      <c r="H977" s="206"/>
      <c r="I977" s="224">
        <v>18</v>
      </c>
      <c r="J977" s="208" t="str">
        <f>J976</f>
        <v>1560 mm id</v>
      </c>
      <c r="K977" s="234">
        <v>1</v>
      </c>
      <c r="L977" s="208" t="s">
        <v>81</v>
      </c>
      <c r="M977" s="227">
        <f t="shared" si="326"/>
        <v>4.9015199999999997</v>
      </c>
      <c r="N977" s="208" t="s">
        <v>139</v>
      </c>
      <c r="O977" s="246">
        <f>VLOOKUP(I977,BM!$A$2:$X$104,18,FALSE)</f>
        <v>1</v>
      </c>
      <c r="P977" s="208" t="s">
        <v>112</v>
      </c>
      <c r="Q977" s="240">
        <f t="shared" si="325"/>
        <v>4.9015199999999997</v>
      </c>
      <c r="R977" s="239">
        <v>1</v>
      </c>
      <c r="S977" s="240">
        <f t="shared" si="290"/>
        <v>5.9</v>
      </c>
      <c r="T977" s="216" t="s">
        <v>48</v>
      </c>
      <c r="U977" s="196" t="str">
        <f t="shared" si="291"/>
        <v>5.9 Hrs</v>
      </c>
    </row>
    <row r="978" spans="3:21" s="185" customFormat="1" ht="20.25" customHeight="1">
      <c r="C978" s="198"/>
      <c r="D978" s="203">
        <f t="shared" si="317"/>
        <v>978</v>
      </c>
      <c r="E978" s="207" t="s">
        <v>357</v>
      </c>
      <c r="F978" s="211">
        <f t="shared" si="324"/>
        <v>977</v>
      </c>
      <c r="G978" s="206" t="s">
        <v>115</v>
      </c>
      <c r="H978" s="206"/>
      <c r="I978" s="224">
        <v>6</v>
      </c>
      <c r="J978" s="208" t="str">
        <f>J977</f>
        <v>1560 mm id</v>
      </c>
      <c r="K978" s="234">
        <v>1</v>
      </c>
      <c r="L978" s="208" t="s">
        <v>81</v>
      </c>
      <c r="M978" s="227">
        <f t="shared" si="326"/>
        <v>4.9015199999999997</v>
      </c>
      <c r="N978" s="208" t="s">
        <v>139</v>
      </c>
      <c r="O978" s="246">
        <f>VLOOKUP(I978,BM!$A$2:$X$104,17,FALSE)</f>
        <v>0.9</v>
      </c>
      <c r="P978" s="208" t="s">
        <v>112</v>
      </c>
      <c r="Q978" s="240">
        <f t="shared" si="325"/>
        <v>4.4113679999999995</v>
      </c>
      <c r="R978" s="239">
        <v>1</v>
      </c>
      <c r="S978" s="240">
        <f t="shared" si="290"/>
        <v>5.41</v>
      </c>
      <c r="T978" s="216" t="s">
        <v>48</v>
      </c>
      <c r="U978" s="196" t="str">
        <f t="shared" si="291"/>
        <v>5.41 Hrs</v>
      </c>
    </row>
    <row r="979" spans="3:21" s="185" customFormat="1" ht="20.25" customHeight="1">
      <c r="C979" s="198"/>
      <c r="D979" s="203">
        <f t="shared" si="317"/>
        <v>979</v>
      </c>
      <c r="E979" s="207" t="s">
        <v>358</v>
      </c>
      <c r="F979" s="211">
        <f t="shared" si="324"/>
        <v>978</v>
      </c>
      <c r="G979" s="206" t="s">
        <v>61</v>
      </c>
      <c r="H979" s="206"/>
      <c r="I979" s="224">
        <v>18</v>
      </c>
      <c r="J979" s="208" t="str">
        <f>J978</f>
        <v>1560 mm id</v>
      </c>
      <c r="K979" s="234">
        <v>1</v>
      </c>
      <c r="L979" s="208" t="s">
        <v>81</v>
      </c>
      <c r="M979" s="227">
        <f t="shared" si="326"/>
        <v>4.9015199999999997</v>
      </c>
      <c r="N979" s="208" t="s">
        <v>139</v>
      </c>
      <c r="O979" s="246">
        <f>VLOOKUP(I979,BM!$A$2:$X$104,20,FALSE)</f>
        <v>0.5</v>
      </c>
      <c r="P979" s="208" t="s">
        <v>112</v>
      </c>
      <c r="Q979" s="240">
        <f t="shared" si="325"/>
        <v>2.4507599999999998</v>
      </c>
      <c r="R979" s="239">
        <v>1</v>
      </c>
      <c r="S979" s="240">
        <f t="shared" si="290"/>
        <v>3.45</v>
      </c>
      <c r="T979" s="216" t="s">
        <v>48</v>
      </c>
      <c r="U979" s="196" t="str">
        <f t="shared" si="291"/>
        <v>3.45 Hrs</v>
      </c>
    </row>
    <row r="980" spans="3:21" s="185" customFormat="1" ht="20.25" customHeight="1">
      <c r="C980" s="198">
        <f>D980</f>
        <v>980</v>
      </c>
      <c r="D980" s="203">
        <f t="shared" si="317"/>
        <v>980</v>
      </c>
      <c r="E980" s="204" t="s">
        <v>359</v>
      </c>
      <c r="F980" s="210">
        <f>D974</f>
        <v>974</v>
      </c>
      <c r="G980" s="206"/>
      <c r="H980" s="206"/>
      <c r="I980" s="208"/>
      <c r="J980" s="208"/>
      <c r="K980" s="234"/>
      <c r="L980" s="208"/>
      <c r="M980" s="217"/>
      <c r="N980" s="208"/>
      <c r="O980" s="218"/>
      <c r="P980" s="208"/>
      <c r="Q980" s="240"/>
      <c r="R980" s="239"/>
      <c r="S980" s="240"/>
      <c r="T980" s="216"/>
      <c r="U980" s="196"/>
    </row>
    <row r="981" spans="3:21" s="185" customFormat="1" ht="20.25" customHeight="1">
      <c r="C981" s="198"/>
      <c r="D981" s="203">
        <f t="shared" si="317"/>
        <v>981</v>
      </c>
      <c r="E981" s="207" t="s">
        <v>360</v>
      </c>
      <c r="F981" s="211"/>
      <c r="G981" s="206" t="s">
        <v>299</v>
      </c>
      <c r="H981" s="206"/>
      <c r="I981" s="224">
        <v>18</v>
      </c>
      <c r="J981" s="208" t="str">
        <f>J979</f>
        <v>1560 mm id</v>
      </c>
      <c r="K981" s="234">
        <v>1</v>
      </c>
      <c r="L981" s="208" t="s">
        <v>81</v>
      </c>
      <c r="M981" s="227">
        <f t="shared" ref="M981:M982" si="327">LEFT(J981,SEARCH(" ",J981,1)-1)*3.142*K981*0.001</f>
        <v>4.9015199999999997</v>
      </c>
      <c r="N981" s="208" t="s">
        <v>139</v>
      </c>
      <c r="O981" s="246">
        <f>VLOOKUP(I981,BM!$A$2:$X$104,10,FALSE)</f>
        <v>1</v>
      </c>
      <c r="P981" s="208" t="s">
        <v>112</v>
      </c>
      <c r="Q981" s="240">
        <f t="shared" ref="Q981:Q982" si="328">M981*O981</f>
        <v>4.9015199999999997</v>
      </c>
      <c r="R981" s="239">
        <v>1</v>
      </c>
      <c r="S981" s="240">
        <f t="shared" si="290"/>
        <v>5.9</v>
      </c>
      <c r="T981" s="216" t="s">
        <v>48</v>
      </c>
      <c r="U981" s="196" t="str">
        <f t="shared" si="291"/>
        <v>5.9 Hrs</v>
      </c>
    </row>
    <row r="982" spans="3:21" s="185" customFormat="1" ht="20.25" customHeight="1">
      <c r="C982" s="198"/>
      <c r="D982" s="203">
        <f t="shared" si="317"/>
        <v>982</v>
      </c>
      <c r="E982" s="207" t="s">
        <v>361</v>
      </c>
      <c r="F982" s="211">
        <f t="shared" ref="F982" si="329">D981</f>
        <v>981</v>
      </c>
      <c r="G982" s="206" t="s">
        <v>44</v>
      </c>
      <c r="H982" s="206"/>
      <c r="I982" s="224">
        <v>18</v>
      </c>
      <c r="J982" s="208" t="str">
        <f>J981</f>
        <v>1560 mm id</v>
      </c>
      <c r="K982" s="234">
        <v>1</v>
      </c>
      <c r="L982" s="208" t="s">
        <v>81</v>
      </c>
      <c r="M982" s="227">
        <f t="shared" si="327"/>
        <v>4.9015199999999997</v>
      </c>
      <c r="N982" s="208" t="s">
        <v>139</v>
      </c>
      <c r="O982" s="218">
        <v>1</v>
      </c>
      <c r="P982" s="208" t="s">
        <v>112</v>
      </c>
      <c r="Q982" s="240">
        <f t="shared" si="328"/>
        <v>4.9015199999999997</v>
      </c>
      <c r="R982" s="239">
        <v>1</v>
      </c>
      <c r="S982" s="240">
        <f t="shared" si="290"/>
        <v>5.9</v>
      </c>
      <c r="T982" s="216" t="s">
        <v>48</v>
      </c>
      <c r="U982" s="196" t="str">
        <f t="shared" si="291"/>
        <v>5.9 Hrs</v>
      </c>
    </row>
    <row r="983" spans="3:21" s="185" customFormat="1" ht="20.25" customHeight="1">
      <c r="C983" s="198">
        <f>D983</f>
        <v>983</v>
      </c>
      <c r="D983" s="203">
        <f t="shared" si="317"/>
        <v>983</v>
      </c>
      <c r="E983" s="204" t="s">
        <v>362</v>
      </c>
      <c r="F983" s="210">
        <f>D980</f>
        <v>980</v>
      </c>
      <c r="G983" s="206"/>
      <c r="H983" s="206"/>
      <c r="I983" s="208"/>
      <c r="J983" s="208"/>
      <c r="K983" s="234"/>
      <c r="L983" s="208"/>
      <c r="M983" s="217"/>
      <c r="N983" s="208"/>
      <c r="O983" s="218"/>
      <c r="P983" s="208"/>
      <c r="Q983" s="240"/>
      <c r="R983" s="239"/>
      <c r="S983" s="240"/>
      <c r="T983" s="216"/>
      <c r="U983" s="196"/>
    </row>
    <row r="984" spans="3:21" s="185" customFormat="1" ht="20.25" customHeight="1">
      <c r="C984" s="198"/>
      <c r="D984" s="203">
        <f t="shared" si="317"/>
        <v>984</v>
      </c>
      <c r="E984" s="207" t="s">
        <v>363</v>
      </c>
      <c r="F984" s="211"/>
      <c r="G984" s="206" t="s">
        <v>44</v>
      </c>
      <c r="H984" s="206"/>
      <c r="I984" s="224">
        <v>12</v>
      </c>
      <c r="J984" s="208" t="str">
        <f>J982</f>
        <v>1560 mm id</v>
      </c>
      <c r="K984" s="234">
        <v>1</v>
      </c>
      <c r="L984" s="208" t="s">
        <v>81</v>
      </c>
      <c r="M984" s="217">
        <v>1</v>
      </c>
      <c r="N984" s="208" t="s">
        <v>249</v>
      </c>
      <c r="O984" s="218">
        <v>1</v>
      </c>
      <c r="P984" s="208" t="s">
        <v>112</v>
      </c>
      <c r="Q984" s="240">
        <f t="shared" ref="Q984:Q988" si="330">M984*O984</f>
        <v>1</v>
      </c>
      <c r="R984" s="239">
        <v>1</v>
      </c>
      <c r="S984" s="240">
        <f t="shared" si="290"/>
        <v>2</v>
      </c>
      <c r="T984" s="216" t="s">
        <v>48</v>
      </c>
      <c r="U984" s="196" t="str">
        <f t="shared" si="291"/>
        <v>2 Hrs</v>
      </c>
    </row>
    <row r="985" spans="3:21" s="185" customFormat="1" ht="20.25" customHeight="1">
      <c r="C985" s="198"/>
      <c r="D985" s="203">
        <f t="shared" si="317"/>
        <v>985</v>
      </c>
      <c r="E985" s="207" t="s">
        <v>364</v>
      </c>
      <c r="F985" s="211">
        <f t="shared" ref="F985:F988" si="331">D984</f>
        <v>984</v>
      </c>
      <c r="G985" s="206" t="s">
        <v>115</v>
      </c>
      <c r="H985" s="206"/>
      <c r="I985" s="224">
        <v>12</v>
      </c>
      <c r="J985" s="208" t="str">
        <f>J984</f>
        <v>1560 mm id</v>
      </c>
      <c r="K985" s="234">
        <v>1</v>
      </c>
      <c r="L985" s="208" t="s">
        <v>81</v>
      </c>
      <c r="M985" s="227">
        <f t="shared" ref="M985:M988" si="332">LEFT(J985,SEARCH(" ",J985,1)-1)*3.142*K985*0.001</f>
        <v>4.9015199999999997</v>
      </c>
      <c r="N985" s="208" t="s">
        <v>249</v>
      </c>
      <c r="O985" s="246">
        <f>VLOOKUP(I985,BM!$A$2:$X$104,17,FALSE)</f>
        <v>2.5</v>
      </c>
      <c r="P985" s="208" t="s">
        <v>112</v>
      </c>
      <c r="Q985" s="240">
        <f t="shared" si="330"/>
        <v>12.253799999999998</v>
      </c>
      <c r="R985" s="239">
        <v>1</v>
      </c>
      <c r="S985" s="240">
        <f t="shared" si="290"/>
        <v>13.25</v>
      </c>
      <c r="T985" s="216" t="s">
        <v>48</v>
      </c>
      <c r="U985" s="196" t="str">
        <f t="shared" si="291"/>
        <v>13.25 Hrs</v>
      </c>
    </row>
    <row r="986" spans="3:21" s="185" customFormat="1" ht="20.25" customHeight="1">
      <c r="C986" s="198"/>
      <c r="D986" s="203">
        <f t="shared" si="317"/>
        <v>986</v>
      </c>
      <c r="E986" s="207" t="s">
        <v>365</v>
      </c>
      <c r="F986" s="211">
        <f t="shared" si="331"/>
        <v>985</v>
      </c>
      <c r="G986" s="206" t="s">
        <v>61</v>
      </c>
      <c r="H986" s="206"/>
      <c r="I986" s="224">
        <v>18</v>
      </c>
      <c r="J986" s="208" t="str">
        <f>J985</f>
        <v>1560 mm id</v>
      </c>
      <c r="K986" s="234">
        <v>1</v>
      </c>
      <c r="L986" s="208" t="s">
        <v>81</v>
      </c>
      <c r="M986" s="227">
        <f t="shared" si="332"/>
        <v>4.9015199999999997</v>
      </c>
      <c r="N986" s="208" t="s">
        <v>249</v>
      </c>
      <c r="O986" s="246">
        <f>VLOOKUP(I986,BM!$A$2:$X$104,18,FALSE)</f>
        <v>1</v>
      </c>
      <c r="P986" s="208" t="s">
        <v>112</v>
      </c>
      <c r="Q986" s="240">
        <f t="shared" si="330"/>
        <v>4.9015199999999997</v>
      </c>
      <c r="R986" s="239">
        <v>1</v>
      </c>
      <c r="S986" s="240">
        <f t="shared" si="290"/>
        <v>5.9</v>
      </c>
      <c r="T986" s="216" t="s">
        <v>48</v>
      </c>
      <c r="U986" s="196" t="str">
        <f t="shared" si="291"/>
        <v>5.9 Hrs</v>
      </c>
    </row>
    <row r="987" spans="3:21" s="185" customFormat="1" ht="20.25" customHeight="1">
      <c r="C987" s="198"/>
      <c r="D987" s="203">
        <f t="shared" si="317"/>
        <v>987</v>
      </c>
      <c r="E987" s="207" t="s">
        <v>366</v>
      </c>
      <c r="F987" s="211">
        <f t="shared" si="331"/>
        <v>986</v>
      </c>
      <c r="G987" s="206" t="s">
        <v>115</v>
      </c>
      <c r="H987" s="206"/>
      <c r="I987" s="224">
        <v>6</v>
      </c>
      <c r="J987" s="208" t="str">
        <f>J986</f>
        <v>1560 mm id</v>
      </c>
      <c r="K987" s="234">
        <v>1</v>
      </c>
      <c r="L987" s="208" t="s">
        <v>81</v>
      </c>
      <c r="M987" s="227">
        <f t="shared" si="332"/>
        <v>4.9015199999999997</v>
      </c>
      <c r="N987" s="208" t="s">
        <v>249</v>
      </c>
      <c r="O987" s="246">
        <f>VLOOKUP(I987,BM!$A$2:$X$104,17,FALSE)</f>
        <v>0.9</v>
      </c>
      <c r="P987" s="208" t="s">
        <v>112</v>
      </c>
      <c r="Q987" s="240">
        <f t="shared" si="330"/>
        <v>4.4113679999999995</v>
      </c>
      <c r="R987" s="239">
        <v>1</v>
      </c>
      <c r="S987" s="240">
        <f t="shared" si="290"/>
        <v>5.41</v>
      </c>
      <c r="T987" s="216" t="s">
        <v>48</v>
      </c>
      <c r="U987" s="196" t="str">
        <f t="shared" si="291"/>
        <v>5.41 Hrs</v>
      </c>
    </row>
    <row r="988" spans="3:21" s="185" customFormat="1" ht="20.25" customHeight="1">
      <c r="C988" s="198"/>
      <c r="D988" s="203">
        <f t="shared" si="317"/>
        <v>988</v>
      </c>
      <c r="E988" s="207" t="s">
        <v>367</v>
      </c>
      <c r="F988" s="211">
        <f t="shared" si="331"/>
        <v>987</v>
      </c>
      <c r="G988" s="206" t="s">
        <v>61</v>
      </c>
      <c r="H988" s="206"/>
      <c r="I988" s="224">
        <v>18</v>
      </c>
      <c r="J988" s="208" t="str">
        <f>J987</f>
        <v>1560 mm id</v>
      </c>
      <c r="K988" s="234">
        <v>1</v>
      </c>
      <c r="L988" s="208" t="s">
        <v>81</v>
      </c>
      <c r="M988" s="227">
        <f t="shared" si="332"/>
        <v>4.9015199999999997</v>
      </c>
      <c r="N988" s="208" t="s">
        <v>249</v>
      </c>
      <c r="O988" s="246">
        <f>VLOOKUP(I988,BM!$A$2:$X$104,20,FALSE)</f>
        <v>0.5</v>
      </c>
      <c r="P988" s="208" t="s">
        <v>112</v>
      </c>
      <c r="Q988" s="240">
        <f t="shared" si="330"/>
        <v>2.4507599999999998</v>
      </c>
      <c r="R988" s="239">
        <v>1</v>
      </c>
      <c r="S988" s="240">
        <f t="shared" si="290"/>
        <v>3.45</v>
      </c>
      <c r="T988" s="216" t="s">
        <v>48</v>
      </c>
      <c r="U988" s="196" t="str">
        <f t="shared" si="291"/>
        <v>3.45 Hrs</v>
      </c>
    </row>
    <row r="989" spans="3:21" s="185" customFormat="1" ht="20.25" customHeight="1">
      <c r="C989" s="198">
        <f>D989</f>
        <v>989</v>
      </c>
      <c r="D989" s="203">
        <f t="shared" si="317"/>
        <v>989</v>
      </c>
      <c r="E989" s="204" t="s">
        <v>368</v>
      </c>
      <c r="F989" s="210">
        <f>D983</f>
        <v>983</v>
      </c>
      <c r="G989" s="206"/>
      <c r="H989" s="206"/>
      <c r="I989" s="208"/>
      <c r="J989" s="208"/>
      <c r="K989" s="234"/>
      <c r="L989" s="208"/>
      <c r="M989" s="217"/>
      <c r="N989" s="208"/>
      <c r="O989" s="218"/>
      <c r="P989" s="208"/>
      <c r="Q989" s="240"/>
      <c r="R989" s="239"/>
      <c r="S989" s="240"/>
      <c r="T989" s="216"/>
      <c r="U989" s="196"/>
    </row>
    <row r="990" spans="3:21" s="185" customFormat="1" ht="20.25" customHeight="1">
      <c r="C990" s="198"/>
      <c r="D990" s="203">
        <f t="shared" si="317"/>
        <v>990</v>
      </c>
      <c r="E990" s="207" t="s">
        <v>369</v>
      </c>
      <c r="F990" s="211"/>
      <c r="G990" s="206" t="s">
        <v>348</v>
      </c>
      <c r="H990" s="206"/>
      <c r="I990" s="224">
        <v>18</v>
      </c>
      <c r="J990" s="208" t="str">
        <f>J988</f>
        <v>1560 mm id</v>
      </c>
      <c r="K990" s="234">
        <v>1</v>
      </c>
      <c r="L990" s="208" t="s">
        <v>81</v>
      </c>
      <c r="M990" s="217">
        <v>1</v>
      </c>
      <c r="N990" s="208" t="s">
        <v>81</v>
      </c>
      <c r="O990" s="218">
        <v>4</v>
      </c>
      <c r="P990" s="208" t="s">
        <v>112</v>
      </c>
      <c r="Q990" s="240">
        <f t="shared" ref="Q990:Q992" si="333">M990*O990</f>
        <v>4</v>
      </c>
      <c r="R990" s="239">
        <v>1</v>
      </c>
      <c r="S990" s="240">
        <f t="shared" ref="S990:S1053" si="334">ROUND(Q990+R990,2)</f>
        <v>5</v>
      </c>
      <c r="T990" s="216" t="s">
        <v>48</v>
      </c>
      <c r="U990" s="196" t="str">
        <f t="shared" ref="U990:U1053" si="335">CONCATENATE(S990," ",T990)</f>
        <v>5 Hrs</v>
      </c>
    </row>
    <row r="991" spans="3:21" s="185" customFormat="1" ht="20.25" customHeight="1">
      <c r="C991" s="198"/>
      <c r="D991" s="203">
        <f t="shared" si="317"/>
        <v>991</v>
      </c>
      <c r="E991" s="207" t="s">
        <v>370</v>
      </c>
      <c r="F991" s="211">
        <f t="shared" ref="F991:F992" si="336">D990</f>
        <v>990</v>
      </c>
      <c r="G991" s="206" t="s">
        <v>348</v>
      </c>
      <c r="H991" s="206"/>
      <c r="I991" s="224">
        <v>18</v>
      </c>
      <c r="J991" s="208" t="str">
        <f>J990</f>
        <v>1560 mm id</v>
      </c>
      <c r="K991" s="234">
        <v>1</v>
      </c>
      <c r="L991" s="208" t="s">
        <v>81</v>
      </c>
      <c r="M991" s="217">
        <v>1</v>
      </c>
      <c r="N991" s="208" t="s">
        <v>81</v>
      </c>
      <c r="O991" s="218">
        <v>4</v>
      </c>
      <c r="P991" s="208" t="s">
        <v>112</v>
      </c>
      <c r="Q991" s="240">
        <f t="shared" si="333"/>
        <v>4</v>
      </c>
      <c r="R991" s="239">
        <v>1</v>
      </c>
      <c r="S991" s="240">
        <f t="shared" si="334"/>
        <v>5</v>
      </c>
      <c r="T991" s="216" t="s">
        <v>48</v>
      </c>
      <c r="U991" s="196" t="str">
        <f t="shared" si="335"/>
        <v>5 Hrs</v>
      </c>
    </row>
    <row r="992" spans="3:21" s="185" customFormat="1" ht="20.25" customHeight="1">
      <c r="C992" s="198"/>
      <c r="D992" s="203">
        <f t="shared" si="317"/>
        <v>992</v>
      </c>
      <c r="E992" s="207" t="s">
        <v>370</v>
      </c>
      <c r="F992" s="211">
        <f t="shared" si="336"/>
        <v>991</v>
      </c>
      <c r="G992" s="206" t="s">
        <v>348</v>
      </c>
      <c r="H992" s="206"/>
      <c r="I992" s="224">
        <v>18</v>
      </c>
      <c r="J992" s="208" t="str">
        <f>J991</f>
        <v>1560 mm id</v>
      </c>
      <c r="K992" s="234">
        <v>1</v>
      </c>
      <c r="L992" s="208" t="s">
        <v>81</v>
      </c>
      <c r="M992" s="217">
        <v>1</v>
      </c>
      <c r="N992" s="208" t="s">
        <v>81</v>
      </c>
      <c r="O992" s="218">
        <v>4</v>
      </c>
      <c r="P992" s="208" t="s">
        <v>112</v>
      </c>
      <c r="Q992" s="240">
        <f t="shared" si="333"/>
        <v>4</v>
      </c>
      <c r="R992" s="239">
        <v>1</v>
      </c>
      <c r="S992" s="240">
        <f t="shared" si="334"/>
        <v>5</v>
      </c>
      <c r="T992" s="216" t="s">
        <v>48</v>
      </c>
      <c r="U992" s="196" t="str">
        <f t="shared" si="335"/>
        <v>5 Hrs</v>
      </c>
    </row>
    <row r="993" spans="3:21" s="185" customFormat="1" ht="20.25" customHeight="1">
      <c r="C993" s="198">
        <f>D993</f>
        <v>993</v>
      </c>
      <c r="D993" s="203">
        <f t="shared" si="317"/>
        <v>993</v>
      </c>
      <c r="E993" s="204" t="s">
        <v>371</v>
      </c>
      <c r="F993" s="210">
        <f>D989</f>
        <v>989</v>
      </c>
      <c r="G993" s="206"/>
      <c r="H993" s="206"/>
      <c r="I993" s="208"/>
      <c r="J993" s="208"/>
      <c r="K993" s="234"/>
      <c r="L993" s="208"/>
      <c r="M993" s="217"/>
      <c r="N993" s="208"/>
      <c r="O993" s="218"/>
      <c r="P993" s="208"/>
      <c r="Q993" s="240"/>
      <c r="R993" s="239"/>
      <c r="S993" s="240"/>
      <c r="T993" s="216"/>
      <c r="U993" s="196"/>
    </row>
    <row r="994" spans="3:21" s="185" customFormat="1" ht="20.25" customHeight="1">
      <c r="C994" s="198"/>
      <c r="D994" s="203">
        <f t="shared" si="317"/>
        <v>994</v>
      </c>
      <c r="E994" s="207" t="s">
        <v>372</v>
      </c>
      <c r="F994" s="211"/>
      <c r="G994" s="206" t="s">
        <v>52</v>
      </c>
      <c r="H994" s="206"/>
      <c r="I994" s="224">
        <v>18</v>
      </c>
      <c r="J994" s="234" t="s">
        <v>373</v>
      </c>
      <c r="K994" s="234">
        <v>1</v>
      </c>
      <c r="L994" s="208" t="s">
        <v>39</v>
      </c>
      <c r="M994" s="227">
        <f t="shared" ref="M994:M995" si="337">LEFT(J994,SEARCH(" ",J994,1)-1)*3.142*K994*0.001</f>
        <v>3.0540240000000001</v>
      </c>
      <c r="N994" s="208" t="s">
        <v>249</v>
      </c>
      <c r="O994" s="246">
        <f>VLOOKUP(I994,BM!$A$2:$X$104,2,FALSE)</f>
        <v>0.1</v>
      </c>
      <c r="P994" s="208" t="s">
        <v>112</v>
      </c>
      <c r="Q994" s="240">
        <f t="shared" ref="Q994:Q996" si="338">M994*O994</f>
        <v>0.30540240000000002</v>
      </c>
      <c r="R994" s="239">
        <v>1</v>
      </c>
      <c r="S994" s="240">
        <f t="shared" si="334"/>
        <v>1.31</v>
      </c>
      <c r="T994" s="216" t="s">
        <v>48</v>
      </c>
      <c r="U994" s="196" t="str">
        <f t="shared" si="335"/>
        <v>1.31 Hrs</v>
      </c>
    </row>
    <row r="995" spans="3:21" s="185" customFormat="1" ht="20.25" customHeight="1">
      <c r="C995" s="198"/>
      <c r="D995" s="203">
        <f t="shared" si="317"/>
        <v>995</v>
      </c>
      <c r="E995" s="207" t="s">
        <v>372</v>
      </c>
      <c r="F995" s="211">
        <f t="shared" ref="F995" si="339">D994</f>
        <v>994</v>
      </c>
      <c r="G995" s="206" t="s">
        <v>52</v>
      </c>
      <c r="H995" s="206"/>
      <c r="I995" s="224">
        <v>18</v>
      </c>
      <c r="J995" s="208" t="str">
        <f>J994</f>
        <v>972 mm lip od</v>
      </c>
      <c r="K995" s="234">
        <v>1</v>
      </c>
      <c r="L995" s="208" t="s">
        <v>39</v>
      </c>
      <c r="M995" s="227">
        <f t="shared" si="337"/>
        <v>3.0540240000000001</v>
      </c>
      <c r="N995" s="208" t="s">
        <v>249</v>
      </c>
      <c r="O995" s="246">
        <f>VLOOKUP(I995,BM!$A$2:$X$104,2,FALSE)</f>
        <v>0.1</v>
      </c>
      <c r="P995" s="208" t="s">
        <v>112</v>
      </c>
      <c r="Q995" s="240">
        <f t="shared" si="338"/>
        <v>0.30540240000000002</v>
      </c>
      <c r="R995" s="239">
        <v>1</v>
      </c>
      <c r="S995" s="240">
        <f t="shared" si="334"/>
        <v>1.31</v>
      </c>
      <c r="T995" s="216" t="s">
        <v>48</v>
      </c>
      <c r="U995" s="196" t="str">
        <f t="shared" si="335"/>
        <v>1.31 Hrs</v>
      </c>
    </row>
    <row r="996" spans="3:21" s="185" customFormat="1" ht="20.25" customHeight="1">
      <c r="C996" s="198">
        <f t="shared" ref="C996:C997" si="340">D996</f>
        <v>996</v>
      </c>
      <c r="D996" s="203">
        <f t="shared" si="317"/>
        <v>996</v>
      </c>
      <c r="E996" s="207" t="s">
        <v>109</v>
      </c>
      <c r="F996" s="211">
        <f>D993</f>
        <v>993</v>
      </c>
      <c r="G996" s="206" t="s">
        <v>52</v>
      </c>
      <c r="H996" s="206"/>
      <c r="I996" s="208"/>
      <c r="J996" s="208"/>
      <c r="K996" s="234">
        <v>2</v>
      </c>
      <c r="L996" s="208" t="s">
        <v>81</v>
      </c>
      <c r="M996" s="217">
        <v>2</v>
      </c>
      <c r="N996" s="208" t="s">
        <v>81</v>
      </c>
      <c r="O996" s="218">
        <v>0.5</v>
      </c>
      <c r="P996" s="208" t="s">
        <v>112</v>
      </c>
      <c r="Q996" s="240">
        <f t="shared" si="338"/>
        <v>1</v>
      </c>
      <c r="R996" s="239">
        <v>1</v>
      </c>
      <c r="S996" s="240">
        <f t="shared" si="334"/>
        <v>2</v>
      </c>
      <c r="T996" s="216" t="s">
        <v>48</v>
      </c>
      <c r="U996" s="196" t="str">
        <f t="shared" si="335"/>
        <v>2 Hrs</v>
      </c>
    </row>
    <row r="997" spans="3:21" s="185" customFormat="1" ht="20.25" customHeight="1">
      <c r="C997" s="198">
        <f t="shared" si="340"/>
        <v>997</v>
      </c>
      <c r="D997" s="203">
        <f t="shared" si="317"/>
        <v>997</v>
      </c>
      <c r="E997" s="204" t="s">
        <v>374</v>
      </c>
      <c r="F997" s="210">
        <f>D996</f>
        <v>996</v>
      </c>
      <c r="G997" s="206"/>
      <c r="H997" s="206"/>
      <c r="I997" s="208"/>
      <c r="J997" s="208"/>
      <c r="K997" s="234"/>
      <c r="L997" s="208"/>
      <c r="M997" s="217"/>
      <c r="N997" s="208"/>
      <c r="O997" s="218"/>
      <c r="P997" s="208"/>
      <c r="Q997" s="240"/>
      <c r="R997" s="239"/>
      <c r="S997" s="240"/>
      <c r="T997" s="216"/>
      <c r="U997" s="196"/>
    </row>
    <row r="998" spans="3:21" s="185" customFormat="1" ht="20.25" customHeight="1">
      <c r="C998" s="198"/>
      <c r="D998" s="203">
        <f t="shared" si="317"/>
        <v>998</v>
      </c>
      <c r="E998" s="207" t="s">
        <v>372</v>
      </c>
      <c r="F998" s="211"/>
      <c r="G998" s="206" t="s">
        <v>61</v>
      </c>
      <c r="H998" s="206"/>
      <c r="I998" s="224">
        <v>18</v>
      </c>
      <c r="J998" s="208" t="str">
        <f>J995</f>
        <v>972 mm lip od</v>
      </c>
      <c r="K998" s="234">
        <v>1</v>
      </c>
      <c r="L998" s="208" t="s">
        <v>39</v>
      </c>
      <c r="M998" s="227">
        <f t="shared" ref="M998:M999" si="341">LEFT(J998,SEARCH(" ",J998,1)-1)*3.142*K998*0.001</f>
        <v>3.0540240000000001</v>
      </c>
      <c r="N998" s="208" t="s">
        <v>249</v>
      </c>
      <c r="O998" s="246">
        <f>VLOOKUP(I998,BM!$A$2:$X$104,6,FALSE)</f>
        <v>1</v>
      </c>
      <c r="P998" s="208" t="s">
        <v>112</v>
      </c>
      <c r="Q998" s="240">
        <f t="shared" ref="Q998:Q1000" si="342">M998*O998</f>
        <v>3.0540240000000001</v>
      </c>
      <c r="R998" s="239">
        <v>1</v>
      </c>
      <c r="S998" s="240">
        <f t="shared" si="334"/>
        <v>4.05</v>
      </c>
      <c r="T998" s="216" t="s">
        <v>48</v>
      </c>
      <c r="U998" s="196" t="str">
        <f t="shared" si="335"/>
        <v>4.05 Hrs</v>
      </c>
    </row>
    <row r="999" spans="3:21" s="185" customFormat="1" ht="20.25" customHeight="1">
      <c r="C999" s="198"/>
      <c r="D999" s="203">
        <f t="shared" si="317"/>
        <v>999</v>
      </c>
      <c r="E999" s="207" t="s">
        <v>372</v>
      </c>
      <c r="F999" s="211">
        <f t="shared" ref="F999:F1000" si="343">D998</f>
        <v>998</v>
      </c>
      <c r="G999" s="206" t="s">
        <v>61</v>
      </c>
      <c r="H999" s="206"/>
      <c r="I999" s="224">
        <v>18</v>
      </c>
      <c r="J999" s="208" t="str">
        <f>J998</f>
        <v>972 mm lip od</v>
      </c>
      <c r="K999" s="234">
        <v>1</v>
      </c>
      <c r="L999" s="208" t="s">
        <v>39</v>
      </c>
      <c r="M999" s="227">
        <f t="shared" si="341"/>
        <v>3.0540240000000001</v>
      </c>
      <c r="N999" s="208" t="s">
        <v>249</v>
      </c>
      <c r="O999" s="246">
        <f>VLOOKUP(I999,BM!$A$2:$X$104,6,FALSE)</f>
        <v>1</v>
      </c>
      <c r="P999" s="208" t="s">
        <v>112</v>
      </c>
      <c r="Q999" s="240">
        <f t="shared" si="342"/>
        <v>3.0540240000000001</v>
      </c>
      <c r="R999" s="239">
        <v>1</v>
      </c>
      <c r="S999" s="240">
        <f t="shared" si="334"/>
        <v>4.05</v>
      </c>
      <c r="T999" s="216" t="s">
        <v>48</v>
      </c>
      <c r="U999" s="196" t="str">
        <f t="shared" si="335"/>
        <v>4.05 Hrs</v>
      </c>
    </row>
    <row r="1000" spans="3:21" s="185" customFormat="1" ht="20.25" customHeight="1">
      <c r="C1000" s="198"/>
      <c r="D1000" s="203">
        <f t="shared" si="317"/>
        <v>1000</v>
      </c>
      <c r="E1000" s="207" t="s">
        <v>109</v>
      </c>
      <c r="F1000" s="211">
        <f t="shared" si="343"/>
        <v>999</v>
      </c>
      <c r="G1000" s="206"/>
      <c r="H1000" s="206"/>
      <c r="I1000" s="208"/>
      <c r="J1000" s="208"/>
      <c r="K1000" s="234">
        <v>1</v>
      </c>
      <c r="L1000" s="208" t="s">
        <v>39</v>
      </c>
      <c r="M1000" s="217">
        <v>2</v>
      </c>
      <c r="N1000" s="208" t="s">
        <v>81</v>
      </c>
      <c r="O1000" s="218">
        <v>0.5</v>
      </c>
      <c r="P1000" s="208" t="s">
        <v>112</v>
      </c>
      <c r="Q1000" s="240">
        <f t="shared" si="342"/>
        <v>1</v>
      </c>
      <c r="R1000" s="239">
        <v>1</v>
      </c>
      <c r="S1000" s="240">
        <f t="shared" si="334"/>
        <v>2</v>
      </c>
      <c r="T1000" s="216" t="s">
        <v>48</v>
      </c>
      <c r="U1000" s="196" t="str">
        <f t="shared" si="335"/>
        <v>2 Hrs</v>
      </c>
    </row>
    <row r="1001" spans="3:21" s="185" customFormat="1" ht="20.25" customHeight="1">
      <c r="C1001" s="198">
        <f>D1001</f>
        <v>1001</v>
      </c>
      <c r="D1001" s="203">
        <f t="shared" si="317"/>
        <v>1001</v>
      </c>
      <c r="E1001" s="204" t="s">
        <v>375</v>
      </c>
      <c r="F1001" s="210">
        <f>D997</f>
        <v>997</v>
      </c>
      <c r="G1001" s="206"/>
      <c r="H1001" s="206"/>
      <c r="I1001" s="208"/>
      <c r="J1001" s="208"/>
      <c r="K1001" s="234"/>
      <c r="L1001" s="208"/>
      <c r="M1001" s="217"/>
      <c r="N1001" s="208"/>
      <c r="O1001" s="218"/>
      <c r="P1001" s="208"/>
      <c r="Q1001" s="240"/>
      <c r="R1001" s="239"/>
      <c r="S1001" s="240"/>
      <c r="T1001" s="216"/>
      <c r="U1001" s="196"/>
    </row>
    <row r="1002" spans="3:21" s="185" customFormat="1" ht="20.25" customHeight="1">
      <c r="C1002" s="198"/>
      <c r="D1002" s="203">
        <f t="shared" si="317"/>
        <v>1002</v>
      </c>
      <c r="E1002" s="207" t="s">
        <v>372</v>
      </c>
      <c r="F1002" s="211"/>
      <c r="G1002" s="206" t="s">
        <v>299</v>
      </c>
      <c r="H1002" s="206"/>
      <c r="I1002" s="208"/>
      <c r="J1002" s="234" t="s">
        <v>376</v>
      </c>
      <c r="K1002" s="234">
        <v>1</v>
      </c>
      <c r="L1002" s="208" t="s">
        <v>39</v>
      </c>
      <c r="M1002" s="217">
        <v>1</v>
      </c>
      <c r="N1002" s="208" t="s">
        <v>249</v>
      </c>
      <c r="O1002" s="246">
        <f>VLOOKUP(J1002,BM!$A$2:$X$104,11,FALSE)</f>
        <v>4</v>
      </c>
      <c r="P1002" s="208" t="s">
        <v>112</v>
      </c>
      <c r="Q1002" s="240">
        <f t="shared" ref="Q1002:Q1004" si="344">M1002*O1002</f>
        <v>4</v>
      </c>
      <c r="R1002" s="239">
        <v>1</v>
      </c>
      <c r="S1002" s="240">
        <f t="shared" si="334"/>
        <v>5</v>
      </c>
      <c r="T1002" s="216" t="s">
        <v>48</v>
      </c>
      <c r="U1002" s="196" t="str">
        <f t="shared" si="335"/>
        <v>5 Hrs</v>
      </c>
    </row>
    <row r="1003" spans="3:21" s="185" customFormat="1" ht="20.25" customHeight="1">
      <c r="C1003" s="198"/>
      <c r="D1003" s="203">
        <f t="shared" si="317"/>
        <v>1003</v>
      </c>
      <c r="E1003" s="207" t="s">
        <v>372</v>
      </c>
      <c r="F1003" s="211">
        <f t="shared" ref="F1003:F1004" si="345">D1002</f>
        <v>1002</v>
      </c>
      <c r="G1003" s="206" t="s">
        <v>299</v>
      </c>
      <c r="H1003" s="206"/>
      <c r="I1003" s="208"/>
      <c r="J1003" s="234" t="s">
        <v>376</v>
      </c>
      <c r="K1003" s="234">
        <v>1</v>
      </c>
      <c r="L1003" s="208" t="s">
        <v>39</v>
      </c>
      <c r="M1003" s="217">
        <v>1</v>
      </c>
      <c r="N1003" s="208" t="s">
        <v>249</v>
      </c>
      <c r="O1003" s="246">
        <f>VLOOKUP(J1003,BM!$A$2:$X$104,11,FALSE)</f>
        <v>4</v>
      </c>
      <c r="P1003" s="208" t="s">
        <v>112</v>
      </c>
      <c r="Q1003" s="240">
        <f t="shared" si="344"/>
        <v>4</v>
      </c>
      <c r="R1003" s="239">
        <v>1</v>
      </c>
      <c r="S1003" s="240">
        <f t="shared" si="334"/>
        <v>5</v>
      </c>
      <c r="T1003" s="216" t="s">
        <v>48</v>
      </c>
      <c r="U1003" s="196" t="str">
        <f t="shared" si="335"/>
        <v>5 Hrs</v>
      </c>
    </row>
    <row r="1004" spans="3:21" s="185" customFormat="1" ht="20.25" customHeight="1">
      <c r="C1004" s="198"/>
      <c r="D1004" s="203">
        <f t="shared" si="317"/>
        <v>1004</v>
      </c>
      <c r="E1004" s="207" t="s">
        <v>377</v>
      </c>
      <c r="F1004" s="211">
        <f t="shared" si="345"/>
        <v>1003</v>
      </c>
      <c r="G1004" s="206"/>
      <c r="H1004" s="206"/>
      <c r="I1004" s="208"/>
      <c r="J1004" s="208"/>
      <c r="K1004" s="234">
        <v>2</v>
      </c>
      <c r="L1004" s="208" t="s">
        <v>39</v>
      </c>
      <c r="M1004" s="217">
        <v>1</v>
      </c>
      <c r="N1004" s="208" t="s">
        <v>81</v>
      </c>
      <c r="O1004" s="218">
        <v>1</v>
      </c>
      <c r="P1004" s="208" t="s">
        <v>112</v>
      </c>
      <c r="Q1004" s="240">
        <f t="shared" si="344"/>
        <v>1</v>
      </c>
      <c r="R1004" s="239">
        <v>1</v>
      </c>
      <c r="S1004" s="240">
        <f t="shared" si="334"/>
        <v>2</v>
      </c>
      <c r="T1004" s="216" t="s">
        <v>48</v>
      </c>
      <c r="U1004" s="196" t="str">
        <f t="shared" si="335"/>
        <v>2 Hrs</v>
      </c>
    </row>
    <row r="1005" spans="3:21" s="185" customFormat="1" ht="20.25" customHeight="1">
      <c r="C1005" s="198">
        <f>D1005</f>
        <v>1005</v>
      </c>
      <c r="D1005" s="203">
        <f t="shared" si="317"/>
        <v>1005</v>
      </c>
      <c r="E1005" s="204" t="s">
        <v>378</v>
      </c>
      <c r="F1005" s="210">
        <f>D1001</f>
        <v>1001</v>
      </c>
      <c r="G1005" s="206"/>
      <c r="H1005" s="206"/>
      <c r="I1005" s="208"/>
      <c r="J1005" s="208"/>
      <c r="K1005" s="234"/>
      <c r="L1005" s="208"/>
      <c r="M1005" s="217"/>
      <c r="N1005" s="208"/>
      <c r="O1005" s="218"/>
      <c r="P1005" s="208"/>
      <c r="Q1005" s="240"/>
      <c r="R1005" s="239"/>
      <c r="S1005" s="240"/>
      <c r="T1005" s="216"/>
      <c r="U1005" s="196"/>
    </row>
    <row r="1006" spans="3:21" s="185" customFormat="1" ht="20.25" customHeight="1">
      <c r="C1006" s="198"/>
      <c r="D1006" s="203">
        <f t="shared" si="317"/>
        <v>1006</v>
      </c>
      <c r="E1006" s="207" t="s">
        <v>372</v>
      </c>
      <c r="F1006" s="211"/>
      <c r="G1006" s="206" t="s">
        <v>44</v>
      </c>
      <c r="H1006" s="206"/>
      <c r="I1006" s="208"/>
      <c r="J1006" s="234" t="s">
        <v>376</v>
      </c>
      <c r="K1006" s="234">
        <v>1</v>
      </c>
      <c r="L1006" s="208" t="s">
        <v>39</v>
      </c>
      <c r="M1006" s="217">
        <v>1</v>
      </c>
      <c r="N1006" s="208" t="s">
        <v>48</v>
      </c>
      <c r="O1006" s="218">
        <v>1</v>
      </c>
      <c r="P1006" s="208" t="s">
        <v>112</v>
      </c>
      <c r="Q1006" s="240">
        <f t="shared" ref="Q1006:Q1008" si="346">M1006*O1006</f>
        <v>1</v>
      </c>
      <c r="R1006" s="239">
        <v>1</v>
      </c>
      <c r="S1006" s="240">
        <f t="shared" si="334"/>
        <v>2</v>
      </c>
      <c r="T1006" s="216" t="s">
        <v>48</v>
      </c>
      <c r="U1006" s="196" t="str">
        <f t="shared" si="335"/>
        <v>2 Hrs</v>
      </c>
    </row>
    <row r="1007" spans="3:21" s="185" customFormat="1" ht="20.25" customHeight="1">
      <c r="C1007" s="198"/>
      <c r="D1007" s="203">
        <f t="shared" si="317"/>
        <v>1007</v>
      </c>
      <c r="E1007" s="207" t="s">
        <v>372</v>
      </c>
      <c r="F1007" s="211">
        <f t="shared" ref="F1007:F1008" si="347">D1006</f>
        <v>1006</v>
      </c>
      <c r="G1007" s="206" t="s">
        <v>44</v>
      </c>
      <c r="H1007" s="206"/>
      <c r="I1007" s="208"/>
      <c r="J1007" s="234" t="s">
        <v>376</v>
      </c>
      <c r="K1007" s="234">
        <v>1</v>
      </c>
      <c r="L1007" s="208" t="s">
        <v>39</v>
      </c>
      <c r="M1007" s="217">
        <v>1</v>
      </c>
      <c r="N1007" s="208" t="s">
        <v>48</v>
      </c>
      <c r="O1007" s="218">
        <v>1</v>
      </c>
      <c r="P1007" s="208" t="s">
        <v>112</v>
      </c>
      <c r="Q1007" s="240">
        <f t="shared" si="346"/>
        <v>1</v>
      </c>
      <c r="R1007" s="239">
        <v>1</v>
      </c>
      <c r="S1007" s="240">
        <f t="shared" si="334"/>
        <v>2</v>
      </c>
      <c r="T1007" s="216" t="s">
        <v>48</v>
      </c>
      <c r="U1007" s="196" t="str">
        <f t="shared" si="335"/>
        <v>2 Hrs</v>
      </c>
    </row>
    <row r="1008" spans="3:21" s="185" customFormat="1" ht="20.25" customHeight="1">
      <c r="C1008" s="198"/>
      <c r="D1008" s="203">
        <f t="shared" si="317"/>
        <v>1008</v>
      </c>
      <c r="E1008" s="207" t="s">
        <v>377</v>
      </c>
      <c r="F1008" s="211">
        <f t="shared" si="347"/>
        <v>1007</v>
      </c>
      <c r="G1008" s="206" t="s">
        <v>44</v>
      </c>
      <c r="H1008" s="206"/>
      <c r="I1008" s="208"/>
      <c r="J1008" s="234" t="s">
        <v>376</v>
      </c>
      <c r="K1008" s="234">
        <v>2</v>
      </c>
      <c r="L1008" s="208" t="s">
        <v>39</v>
      </c>
      <c r="M1008" s="217">
        <v>1</v>
      </c>
      <c r="N1008" s="208" t="s">
        <v>48</v>
      </c>
      <c r="O1008" s="218">
        <v>1</v>
      </c>
      <c r="P1008" s="208" t="s">
        <v>112</v>
      </c>
      <c r="Q1008" s="240">
        <f t="shared" si="346"/>
        <v>1</v>
      </c>
      <c r="R1008" s="239">
        <v>1</v>
      </c>
      <c r="S1008" s="240">
        <f t="shared" si="334"/>
        <v>2</v>
      </c>
      <c r="T1008" s="216" t="s">
        <v>48</v>
      </c>
      <c r="U1008" s="196" t="str">
        <f t="shared" si="335"/>
        <v>2 Hrs</v>
      </c>
    </row>
    <row r="1009" spans="3:21" s="185" customFormat="1" ht="20.25" customHeight="1">
      <c r="C1009" s="198">
        <f>D1009</f>
        <v>1009</v>
      </c>
      <c r="D1009" s="203">
        <f t="shared" si="317"/>
        <v>1009</v>
      </c>
      <c r="E1009" s="204" t="s">
        <v>379</v>
      </c>
      <c r="F1009" s="210">
        <f>D1005</f>
        <v>1005</v>
      </c>
      <c r="G1009" s="206"/>
      <c r="H1009" s="206"/>
      <c r="I1009" s="208"/>
      <c r="J1009" s="208"/>
      <c r="K1009" s="234"/>
      <c r="L1009" s="208"/>
      <c r="M1009" s="217"/>
      <c r="N1009" s="208"/>
      <c r="O1009" s="218"/>
      <c r="P1009" s="208"/>
      <c r="Q1009" s="240"/>
      <c r="R1009" s="239"/>
      <c r="S1009" s="240"/>
      <c r="T1009" s="216"/>
      <c r="U1009" s="196"/>
    </row>
    <row r="1010" spans="3:21" s="185" customFormat="1" ht="20.25" customHeight="1">
      <c r="C1010" s="198"/>
      <c r="D1010" s="203">
        <f t="shared" si="317"/>
        <v>1010</v>
      </c>
      <c r="E1010" s="207" t="s">
        <v>380</v>
      </c>
      <c r="F1010" s="211"/>
      <c r="G1010" s="206" t="s">
        <v>37</v>
      </c>
      <c r="H1010" s="206"/>
      <c r="I1010" s="208"/>
      <c r="J1010" s="208"/>
      <c r="K1010" s="234">
        <v>1</v>
      </c>
      <c r="L1010" s="208" t="s">
        <v>39</v>
      </c>
      <c r="M1010" s="217">
        <v>1</v>
      </c>
      <c r="N1010" s="208" t="s">
        <v>81</v>
      </c>
      <c r="O1010" s="218">
        <v>1</v>
      </c>
      <c r="P1010" s="208" t="s">
        <v>162</v>
      </c>
      <c r="Q1010" s="240">
        <f t="shared" ref="Q1010:Q1017" si="348">M1010*O1010</f>
        <v>1</v>
      </c>
      <c r="R1010" s="239"/>
      <c r="S1010" s="240">
        <f t="shared" si="334"/>
        <v>1</v>
      </c>
      <c r="T1010" s="216" t="s">
        <v>48</v>
      </c>
      <c r="U1010" s="196" t="str">
        <f t="shared" si="335"/>
        <v>1 Hrs</v>
      </c>
    </row>
    <row r="1011" spans="3:21" s="185" customFormat="1" ht="20.25" customHeight="1">
      <c r="C1011" s="198"/>
      <c r="D1011" s="203">
        <f t="shared" si="317"/>
        <v>1011</v>
      </c>
      <c r="E1011" s="207" t="s">
        <v>381</v>
      </c>
      <c r="F1011" s="211">
        <f t="shared" ref="F1011:F1017" si="349">D1010</f>
        <v>1010</v>
      </c>
      <c r="G1011" s="206" t="s">
        <v>115</v>
      </c>
      <c r="H1011" s="206"/>
      <c r="I1011" s="224">
        <v>12</v>
      </c>
      <c r="J1011" s="208" t="str">
        <f>J999</f>
        <v>972 mm lip od</v>
      </c>
      <c r="K1011" s="234">
        <v>1</v>
      </c>
      <c r="L1011" s="208" t="s">
        <v>39</v>
      </c>
      <c r="M1011" s="227">
        <f t="shared" ref="M1011:M1017" si="350">LEFT(J1011,SEARCH(" ",J1011,1)-1)*3.142*K1011*0.001</f>
        <v>3.0540240000000001</v>
      </c>
      <c r="N1011" s="208" t="s">
        <v>249</v>
      </c>
      <c r="O1011" s="246">
        <f>VLOOKUP(I1011,BM!$A$2:$X$104,17,FALSE)</f>
        <v>2.5</v>
      </c>
      <c r="P1011" s="208" t="s">
        <v>112</v>
      </c>
      <c r="Q1011" s="240">
        <f t="shared" si="348"/>
        <v>7.6350600000000002</v>
      </c>
      <c r="R1011" s="239">
        <v>1</v>
      </c>
      <c r="S1011" s="240">
        <f t="shared" si="334"/>
        <v>8.64</v>
      </c>
      <c r="T1011" s="216" t="s">
        <v>48</v>
      </c>
      <c r="U1011" s="196" t="str">
        <f t="shared" si="335"/>
        <v>8.64 Hrs</v>
      </c>
    </row>
    <row r="1012" spans="3:21" s="185" customFormat="1" ht="20.25" customHeight="1">
      <c r="C1012" s="198"/>
      <c r="D1012" s="203">
        <f t="shared" si="317"/>
        <v>1012</v>
      </c>
      <c r="E1012" s="207" t="s">
        <v>382</v>
      </c>
      <c r="F1012" s="211">
        <f t="shared" si="349"/>
        <v>1011</v>
      </c>
      <c r="G1012" s="206" t="s">
        <v>115</v>
      </c>
      <c r="H1012" s="206"/>
      <c r="I1012" s="224">
        <v>12</v>
      </c>
      <c r="J1012" s="208" t="str">
        <f t="shared" ref="J1012:J1017" si="351">J1011</f>
        <v>972 mm lip od</v>
      </c>
      <c r="K1012" s="234">
        <v>1</v>
      </c>
      <c r="L1012" s="208" t="s">
        <v>39</v>
      </c>
      <c r="M1012" s="227">
        <f t="shared" si="350"/>
        <v>3.0540240000000001</v>
      </c>
      <c r="N1012" s="208" t="s">
        <v>249</v>
      </c>
      <c r="O1012" s="246">
        <f>VLOOKUP(I1012,BM!$A$2:$X$104,17,FALSE)</f>
        <v>2.5</v>
      </c>
      <c r="P1012" s="208" t="s">
        <v>112</v>
      </c>
      <c r="Q1012" s="240">
        <f t="shared" si="348"/>
        <v>7.6350600000000002</v>
      </c>
      <c r="R1012" s="239">
        <v>1</v>
      </c>
      <c r="S1012" s="240">
        <f t="shared" si="334"/>
        <v>8.64</v>
      </c>
      <c r="T1012" s="216" t="s">
        <v>48</v>
      </c>
      <c r="U1012" s="196" t="str">
        <f t="shared" si="335"/>
        <v>8.64 Hrs</v>
      </c>
    </row>
    <row r="1013" spans="3:21" s="185" customFormat="1" ht="20.25" customHeight="1">
      <c r="C1013" s="198"/>
      <c r="D1013" s="203">
        <f t="shared" si="317"/>
        <v>1013</v>
      </c>
      <c r="E1013" s="207" t="s">
        <v>383</v>
      </c>
      <c r="F1013" s="211">
        <f t="shared" si="349"/>
        <v>1012</v>
      </c>
      <c r="G1013" s="206" t="s">
        <v>115</v>
      </c>
      <c r="H1013" s="206"/>
      <c r="I1013" s="224">
        <v>12</v>
      </c>
      <c r="J1013" s="208" t="str">
        <f t="shared" si="351"/>
        <v>972 mm lip od</v>
      </c>
      <c r="K1013" s="234">
        <v>1</v>
      </c>
      <c r="L1013" s="208" t="s">
        <v>39</v>
      </c>
      <c r="M1013" s="227">
        <f t="shared" si="350"/>
        <v>3.0540240000000001</v>
      </c>
      <c r="N1013" s="208" t="s">
        <v>249</v>
      </c>
      <c r="O1013" s="246">
        <f>VLOOKUP(I1013,BM!$A$2:$X$104,17,FALSE)</f>
        <v>2.5</v>
      </c>
      <c r="P1013" s="208" t="s">
        <v>112</v>
      </c>
      <c r="Q1013" s="240">
        <f t="shared" si="348"/>
        <v>7.6350600000000002</v>
      </c>
      <c r="R1013" s="239">
        <v>1</v>
      </c>
      <c r="S1013" s="240">
        <f t="shared" si="334"/>
        <v>8.64</v>
      </c>
      <c r="T1013" s="216" t="s">
        <v>48</v>
      </c>
      <c r="U1013" s="196" t="str">
        <f t="shared" si="335"/>
        <v>8.64 Hrs</v>
      </c>
    </row>
    <row r="1014" spans="3:21" s="185" customFormat="1" ht="20.25" customHeight="1">
      <c r="C1014" s="198"/>
      <c r="D1014" s="203">
        <f t="shared" si="317"/>
        <v>1014</v>
      </c>
      <c r="E1014" s="207" t="s">
        <v>384</v>
      </c>
      <c r="F1014" s="211">
        <f t="shared" si="349"/>
        <v>1013</v>
      </c>
      <c r="G1014" s="206" t="s">
        <v>44</v>
      </c>
      <c r="H1014" s="206"/>
      <c r="I1014" s="224">
        <v>12</v>
      </c>
      <c r="J1014" s="208" t="str">
        <f t="shared" si="351"/>
        <v>972 mm lip od</v>
      </c>
      <c r="K1014" s="234">
        <v>2</v>
      </c>
      <c r="L1014" s="208" t="s">
        <v>39</v>
      </c>
      <c r="M1014" s="227">
        <f t="shared" si="350"/>
        <v>6.1080480000000001</v>
      </c>
      <c r="N1014" s="208" t="s">
        <v>249</v>
      </c>
      <c r="O1014" s="218">
        <v>1</v>
      </c>
      <c r="P1014" s="208" t="s">
        <v>112</v>
      </c>
      <c r="Q1014" s="240">
        <f t="shared" si="348"/>
        <v>6.1080480000000001</v>
      </c>
      <c r="R1014" s="239">
        <v>1</v>
      </c>
      <c r="S1014" s="240">
        <f t="shared" si="334"/>
        <v>7.11</v>
      </c>
      <c r="T1014" s="216" t="s">
        <v>48</v>
      </c>
      <c r="U1014" s="196" t="str">
        <f t="shared" si="335"/>
        <v>7.11 Hrs</v>
      </c>
    </row>
    <row r="1015" spans="3:21" s="185" customFormat="1" ht="20.25" customHeight="1">
      <c r="C1015" s="198"/>
      <c r="D1015" s="203">
        <f t="shared" si="317"/>
        <v>1015</v>
      </c>
      <c r="E1015" s="207" t="s">
        <v>385</v>
      </c>
      <c r="F1015" s="211">
        <f t="shared" si="349"/>
        <v>1014</v>
      </c>
      <c r="G1015" s="206" t="s">
        <v>386</v>
      </c>
      <c r="H1015" s="206"/>
      <c r="I1015" s="224">
        <v>8</v>
      </c>
      <c r="J1015" s="208" t="str">
        <f t="shared" si="351"/>
        <v>972 mm lip od</v>
      </c>
      <c r="K1015" s="234">
        <v>1</v>
      </c>
      <c r="L1015" s="208" t="s">
        <v>39</v>
      </c>
      <c r="M1015" s="227">
        <f t="shared" si="350"/>
        <v>3.0540240000000001</v>
      </c>
      <c r="N1015" s="208" t="s">
        <v>249</v>
      </c>
      <c r="O1015" s="246">
        <f>VLOOKUP(I1015,BM!$A$2:$X$104,17,FALSE)</f>
        <v>1.36</v>
      </c>
      <c r="P1015" s="208" t="s">
        <v>112</v>
      </c>
      <c r="Q1015" s="240">
        <f t="shared" si="348"/>
        <v>4.1534726400000004</v>
      </c>
      <c r="R1015" s="239">
        <v>1</v>
      </c>
      <c r="S1015" s="240">
        <f t="shared" si="334"/>
        <v>5.15</v>
      </c>
      <c r="T1015" s="216" t="s">
        <v>48</v>
      </c>
      <c r="U1015" s="196" t="str">
        <f t="shared" si="335"/>
        <v>5.15 Hrs</v>
      </c>
    </row>
    <row r="1016" spans="3:21" s="185" customFormat="1" ht="20.25" customHeight="1">
      <c r="C1016" s="198"/>
      <c r="D1016" s="203">
        <f t="shared" si="317"/>
        <v>1016</v>
      </c>
      <c r="E1016" s="207" t="s">
        <v>387</v>
      </c>
      <c r="F1016" s="211">
        <f t="shared" si="349"/>
        <v>1015</v>
      </c>
      <c r="G1016" s="206" t="s">
        <v>386</v>
      </c>
      <c r="H1016" s="206"/>
      <c r="I1016" s="224">
        <v>8</v>
      </c>
      <c r="J1016" s="208" t="str">
        <f t="shared" si="351"/>
        <v>972 mm lip od</v>
      </c>
      <c r="K1016" s="234">
        <v>1</v>
      </c>
      <c r="L1016" s="208" t="s">
        <v>39</v>
      </c>
      <c r="M1016" s="227">
        <f t="shared" si="350"/>
        <v>3.0540240000000001</v>
      </c>
      <c r="N1016" s="208" t="s">
        <v>249</v>
      </c>
      <c r="O1016" s="246">
        <f>VLOOKUP(I1016,BM!$A$2:$X$104,17,FALSE)</f>
        <v>1.36</v>
      </c>
      <c r="P1016" s="208" t="s">
        <v>112</v>
      </c>
      <c r="Q1016" s="240">
        <f t="shared" si="348"/>
        <v>4.1534726400000004</v>
      </c>
      <c r="R1016" s="239">
        <v>1</v>
      </c>
      <c r="S1016" s="240">
        <f t="shared" si="334"/>
        <v>5.15</v>
      </c>
      <c r="T1016" s="216" t="s">
        <v>48</v>
      </c>
      <c r="U1016" s="196" t="str">
        <f t="shared" si="335"/>
        <v>5.15 Hrs</v>
      </c>
    </row>
    <row r="1017" spans="3:21" s="185" customFormat="1" ht="20.25" customHeight="1">
      <c r="C1017" s="198"/>
      <c r="D1017" s="203">
        <f t="shared" si="317"/>
        <v>1017</v>
      </c>
      <c r="E1017" s="207" t="s">
        <v>388</v>
      </c>
      <c r="F1017" s="211">
        <f t="shared" si="349"/>
        <v>1016</v>
      </c>
      <c r="G1017" s="206" t="s">
        <v>386</v>
      </c>
      <c r="H1017" s="206"/>
      <c r="I1017" s="224">
        <v>8</v>
      </c>
      <c r="J1017" s="208" t="str">
        <f t="shared" si="351"/>
        <v>972 mm lip od</v>
      </c>
      <c r="K1017" s="234">
        <v>0</v>
      </c>
      <c r="L1017" s="208" t="s">
        <v>39</v>
      </c>
      <c r="M1017" s="227">
        <f t="shared" si="350"/>
        <v>0</v>
      </c>
      <c r="N1017" s="208" t="s">
        <v>249</v>
      </c>
      <c r="O1017" s="246">
        <f>VLOOKUP(I1017,BM!$A$2:$X$104,17,FALSE)</f>
        <v>1.36</v>
      </c>
      <c r="P1017" s="208" t="s">
        <v>112</v>
      </c>
      <c r="Q1017" s="240">
        <f t="shared" si="348"/>
        <v>0</v>
      </c>
      <c r="R1017" s="239">
        <v>1</v>
      </c>
      <c r="S1017" s="240">
        <f t="shared" si="334"/>
        <v>1</v>
      </c>
      <c r="T1017" s="216" t="s">
        <v>48</v>
      </c>
      <c r="U1017" s="196" t="str">
        <f t="shared" si="335"/>
        <v>1 Hrs</v>
      </c>
    </row>
    <row r="1018" spans="3:21" s="185" customFormat="1" ht="20.25" customHeight="1">
      <c r="C1018" s="198">
        <f>D1018</f>
        <v>1018</v>
      </c>
      <c r="D1018" s="203">
        <f t="shared" si="317"/>
        <v>1018</v>
      </c>
      <c r="E1018" s="204" t="s">
        <v>389</v>
      </c>
      <c r="F1018" s="210">
        <f>D1009</f>
        <v>1009</v>
      </c>
      <c r="G1018" s="206"/>
      <c r="H1018" s="206"/>
      <c r="I1018" s="208"/>
      <c r="J1018" s="208"/>
      <c r="K1018" s="234"/>
      <c r="L1018" s="208"/>
      <c r="M1018" s="217"/>
      <c r="N1018" s="208"/>
      <c r="O1018" s="218"/>
      <c r="P1018" s="208"/>
      <c r="Q1018" s="240"/>
      <c r="R1018" s="239"/>
      <c r="S1018" s="240"/>
      <c r="T1018" s="216"/>
      <c r="U1018" s="196"/>
    </row>
    <row r="1019" spans="3:21" s="185" customFormat="1" ht="20.25" customHeight="1">
      <c r="C1019" s="198"/>
      <c r="D1019" s="203">
        <f t="shared" si="317"/>
        <v>1019</v>
      </c>
      <c r="E1019" s="207" t="s">
        <v>390</v>
      </c>
      <c r="F1019" s="211"/>
      <c r="G1019" s="206" t="s">
        <v>111</v>
      </c>
      <c r="H1019" s="206"/>
      <c r="I1019" s="224">
        <v>25</v>
      </c>
      <c r="J1019" s="225" t="s">
        <v>391</v>
      </c>
      <c r="K1019" s="234">
        <v>2</v>
      </c>
      <c r="L1019" s="208" t="s">
        <v>39</v>
      </c>
      <c r="M1019" s="227">
        <f>LEFT(J1019,SEARCH(" ",J1019,1)-1)*3.142*K1019*2*0.001</f>
        <v>20.058527999999999</v>
      </c>
      <c r="N1019" s="208" t="s">
        <v>81</v>
      </c>
      <c r="O1019" s="218">
        <v>0.5</v>
      </c>
      <c r="P1019" s="208" t="s">
        <v>162</v>
      </c>
      <c r="Q1019" s="240">
        <f t="shared" ref="Q1019:Q1024" si="352">M1019*O1019</f>
        <v>10.029264</v>
      </c>
      <c r="R1019" s="239">
        <v>1</v>
      </c>
      <c r="S1019" s="240">
        <f t="shared" si="334"/>
        <v>11.03</v>
      </c>
      <c r="T1019" s="216" t="s">
        <v>48</v>
      </c>
      <c r="U1019" s="196" t="str">
        <f t="shared" si="335"/>
        <v>11.03 Hrs</v>
      </c>
    </row>
    <row r="1020" spans="3:21" s="185" customFormat="1" ht="20.25" customHeight="1">
      <c r="C1020" s="198"/>
      <c r="D1020" s="203">
        <f t="shared" si="317"/>
        <v>1020</v>
      </c>
      <c r="E1020" s="207" t="s">
        <v>392</v>
      </c>
      <c r="F1020" s="211">
        <f t="shared" ref="F1020:F1024" si="353">D1019</f>
        <v>1019</v>
      </c>
      <c r="G1020" s="206" t="s">
        <v>156</v>
      </c>
      <c r="H1020" s="206"/>
      <c r="I1020" s="224">
        <v>12</v>
      </c>
      <c r="J1020" s="208" t="str">
        <f>J1019</f>
        <v>1596 mm od</v>
      </c>
      <c r="K1020" s="234">
        <v>2</v>
      </c>
      <c r="L1020" s="208" t="s">
        <v>249</v>
      </c>
      <c r="M1020" s="227">
        <f>LEFT(J1020,SEARCH(" ",J1020,1)-1)*3.142*K1020*2*0.001</f>
        <v>20.058527999999999</v>
      </c>
      <c r="N1020" s="208" t="s">
        <v>249</v>
      </c>
      <c r="O1020" s="246">
        <f>VLOOKUP(I1020,BM!$A$2:$X$104,22,FALSE)</f>
        <v>1.6</v>
      </c>
      <c r="P1020" s="208" t="s">
        <v>162</v>
      </c>
      <c r="Q1020" s="240">
        <f t="shared" si="352"/>
        <v>32.0936448</v>
      </c>
      <c r="R1020" s="239">
        <v>1</v>
      </c>
      <c r="S1020" s="240">
        <f t="shared" si="334"/>
        <v>33.090000000000003</v>
      </c>
      <c r="T1020" s="216" t="s">
        <v>48</v>
      </c>
      <c r="U1020" s="196" t="str">
        <f t="shared" si="335"/>
        <v>33.09 Hrs</v>
      </c>
    </row>
    <row r="1021" spans="3:21" s="185" customFormat="1" ht="20.25" customHeight="1">
      <c r="C1021" s="198"/>
      <c r="D1021" s="203">
        <f t="shared" si="317"/>
        <v>1021</v>
      </c>
      <c r="E1021" s="207" t="s">
        <v>393</v>
      </c>
      <c r="F1021" s="211">
        <f t="shared" si="353"/>
        <v>1020</v>
      </c>
      <c r="G1021" s="206" t="s">
        <v>394</v>
      </c>
      <c r="H1021" s="206"/>
      <c r="I1021" s="208"/>
      <c r="J1021" s="211" t="str">
        <f>J1020</f>
        <v>1596 mm od</v>
      </c>
      <c r="K1021" s="234">
        <v>2</v>
      </c>
      <c r="L1021" s="208" t="s">
        <v>81</v>
      </c>
      <c r="M1021" s="217">
        <f>K1021</f>
        <v>2</v>
      </c>
      <c r="N1021" s="208" t="s">
        <v>81</v>
      </c>
      <c r="O1021" s="218">
        <v>8</v>
      </c>
      <c r="P1021" s="208" t="s">
        <v>162</v>
      </c>
      <c r="Q1021" s="240">
        <f t="shared" si="352"/>
        <v>16</v>
      </c>
      <c r="R1021" s="239">
        <v>1</v>
      </c>
      <c r="S1021" s="240">
        <f t="shared" si="334"/>
        <v>17</v>
      </c>
      <c r="T1021" s="216" t="s">
        <v>48</v>
      </c>
      <c r="U1021" s="196" t="str">
        <f t="shared" si="335"/>
        <v>17 Hrs</v>
      </c>
    </row>
    <row r="1022" spans="3:21" s="185" customFormat="1" ht="20.25" customHeight="1">
      <c r="C1022" s="198"/>
      <c r="D1022" s="203">
        <f t="shared" si="317"/>
        <v>1022</v>
      </c>
      <c r="E1022" s="207" t="s">
        <v>395</v>
      </c>
      <c r="F1022" s="211">
        <f t="shared" si="353"/>
        <v>1021</v>
      </c>
      <c r="G1022" s="206" t="s">
        <v>396</v>
      </c>
      <c r="H1022" s="206"/>
      <c r="I1022" s="208"/>
      <c r="J1022" s="211" t="str">
        <f>J1021</f>
        <v>1596 mm od</v>
      </c>
      <c r="K1022" s="234">
        <v>2</v>
      </c>
      <c r="L1022" s="208" t="s">
        <v>81</v>
      </c>
      <c r="M1022" s="217">
        <f>K1022</f>
        <v>2</v>
      </c>
      <c r="N1022" s="208" t="s">
        <v>81</v>
      </c>
      <c r="O1022" s="218">
        <v>6</v>
      </c>
      <c r="P1022" s="208" t="s">
        <v>162</v>
      </c>
      <c r="Q1022" s="240">
        <f t="shared" si="352"/>
        <v>12</v>
      </c>
      <c r="R1022" s="239">
        <v>1</v>
      </c>
      <c r="S1022" s="240">
        <f t="shared" si="334"/>
        <v>13</v>
      </c>
      <c r="T1022" s="216" t="s">
        <v>48</v>
      </c>
      <c r="U1022" s="196" t="str">
        <f t="shared" si="335"/>
        <v>13 Hrs</v>
      </c>
    </row>
    <row r="1023" spans="3:21" s="185" customFormat="1" ht="20.25" customHeight="1">
      <c r="C1023" s="198"/>
      <c r="D1023" s="203">
        <f t="shared" si="317"/>
        <v>1023</v>
      </c>
      <c r="E1023" s="207" t="s">
        <v>397</v>
      </c>
      <c r="F1023" s="211">
        <f t="shared" si="353"/>
        <v>1022</v>
      </c>
      <c r="G1023" s="206" t="s">
        <v>156</v>
      </c>
      <c r="H1023" s="206"/>
      <c r="I1023" s="224">
        <v>12</v>
      </c>
      <c r="J1023" s="208" t="s">
        <v>398</v>
      </c>
      <c r="K1023" s="234">
        <v>1</v>
      </c>
      <c r="L1023" s="208" t="s">
        <v>81</v>
      </c>
      <c r="M1023" s="235">
        <f>(300*16+1536*3.142*360^-1*120*2)*2*0.001</f>
        <v>16.034815999999999</v>
      </c>
      <c r="N1023" s="208" t="s">
        <v>249</v>
      </c>
      <c r="O1023" s="246">
        <f>VLOOKUP(I1023,BM!$A$2:$X$104,22,FALSE)</f>
        <v>1.6</v>
      </c>
      <c r="P1023" s="208" t="s">
        <v>162</v>
      </c>
      <c r="Q1023" s="240">
        <f t="shared" si="352"/>
        <v>25.655705600000001</v>
      </c>
      <c r="R1023" s="239">
        <v>1</v>
      </c>
      <c r="S1023" s="240">
        <f t="shared" si="334"/>
        <v>26.66</v>
      </c>
      <c r="T1023" s="216" t="s">
        <v>48</v>
      </c>
      <c r="U1023" s="196" t="str">
        <f t="shared" si="335"/>
        <v>26.66 Hrs</v>
      </c>
    </row>
    <row r="1024" spans="3:21" s="185" customFormat="1" ht="20.25" customHeight="1">
      <c r="C1024" s="198"/>
      <c r="D1024" s="203">
        <f t="shared" si="317"/>
        <v>1024</v>
      </c>
      <c r="E1024" s="207" t="s">
        <v>399</v>
      </c>
      <c r="F1024" s="211">
        <f t="shared" si="353"/>
        <v>1023</v>
      </c>
      <c r="G1024" s="206" t="s">
        <v>149</v>
      </c>
      <c r="H1024" s="206"/>
      <c r="I1024" s="208"/>
      <c r="J1024" s="208"/>
      <c r="K1024" s="234">
        <v>1</v>
      </c>
      <c r="L1024" s="208" t="s">
        <v>39</v>
      </c>
      <c r="M1024" s="217">
        <v>1</v>
      </c>
      <c r="N1024" s="208" t="s">
        <v>81</v>
      </c>
      <c r="O1024" s="218">
        <v>8</v>
      </c>
      <c r="P1024" s="208" t="s">
        <v>162</v>
      </c>
      <c r="Q1024" s="240">
        <f t="shared" si="352"/>
        <v>8</v>
      </c>
      <c r="R1024" s="239">
        <v>1</v>
      </c>
      <c r="S1024" s="240">
        <f t="shared" si="334"/>
        <v>9</v>
      </c>
      <c r="T1024" s="216" t="s">
        <v>48</v>
      </c>
      <c r="U1024" s="196" t="str">
        <f t="shared" si="335"/>
        <v>9 Hrs</v>
      </c>
    </row>
    <row r="1025" spans="3:21" s="185" customFormat="1" ht="20.25" customHeight="1">
      <c r="C1025" s="198">
        <f>D1025</f>
        <v>1025</v>
      </c>
      <c r="D1025" s="203">
        <f t="shared" si="317"/>
        <v>1025</v>
      </c>
      <c r="E1025" s="204" t="s">
        <v>400</v>
      </c>
      <c r="F1025" s="210">
        <f>D1018</f>
        <v>1018</v>
      </c>
      <c r="G1025" s="206"/>
      <c r="H1025" s="206"/>
      <c r="I1025" s="208"/>
      <c r="J1025" s="208"/>
      <c r="K1025" s="234"/>
      <c r="L1025" s="208"/>
      <c r="M1025" s="217"/>
      <c r="N1025" s="208"/>
      <c r="O1025" s="218"/>
      <c r="P1025" s="208"/>
      <c r="Q1025" s="240"/>
      <c r="R1025" s="239"/>
      <c r="S1025" s="240"/>
      <c r="T1025" s="216"/>
      <c r="U1025" s="196"/>
    </row>
    <row r="1026" spans="3:21" s="185" customFormat="1" ht="20.25" customHeight="1">
      <c r="C1026" s="198"/>
      <c r="D1026" s="203">
        <f t="shared" si="317"/>
        <v>1026</v>
      </c>
      <c r="E1026" s="207" t="s">
        <v>401</v>
      </c>
      <c r="F1026" s="211"/>
      <c r="G1026" s="206" t="s">
        <v>402</v>
      </c>
      <c r="H1026" s="206"/>
      <c r="I1026" s="208"/>
      <c r="J1026" s="208"/>
      <c r="K1026" s="234">
        <v>1</v>
      </c>
      <c r="L1026" s="208" t="s">
        <v>39</v>
      </c>
      <c r="M1026" s="217">
        <v>1</v>
      </c>
      <c r="N1026" s="208" t="s">
        <v>81</v>
      </c>
      <c r="O1026" s="218">
        <v>4</v>
      </c>
      <c r="P1026" s="208" t="s">
        <v>162</v>
      </c>
      <c r="Q1026" s="240">
        <f t="shared" ref="Q1026:Q1028" si="354">M1026*O1026</f>
        <v>4</v>
      </c>
      <c r="R1026" s="239">
        <v>1</v>
      </c>
      <c r="S1026" s="240">
        <f t="shared" si="334"/>
        <v>5</v>
      </c>
      <c r="T1026" s="216" t="s">
        <v>48</v>
      </c>
      <c r="U1026" s="196" t="str">
        <f t="shared" si="335"/>
        <v>5 Hrs</v>
      </c>
    </row>
    <row r="1027" spans="3:21" s="185" customFormat="1" ht="20.25" customHeight="1">
      <c r="C1027" s="198"/>
      <c r="D1027" s="203">
        <f t="shared" si="317"/>
        <v>1027</v>
      </c>
      <c r="E1027" s="207" t="s">
        <v>403</v>
      </c>
      <c r="F1027" s="211">
        <f t="shared" ref="F1027:F1028" si="355">D1026</f>
        <v>1026</v>
      </c>
      <c r="G1027" s="206" t="s">
        <v>172</v>
      </c>
      <c r="H1027" s="206"/>
      <c r="I1027" s="208"/>
      <c r="J1027" s="208"/>
      <c r="K1027" s="234">
        <v>1</v>
      </c>
      <c r="L1027" s="208" t="s">
        <v>39</v>
      </c>
      <c r="M1027" s="217">
        <v>1</v>
      </c>
      <c r="N1027" s="208" t="s">
        <v>81</v>
      </c>
      <c r="O1027" s="218">
        <v>4</v>
      </c>
      <c r="P1027" s="208" t="s">
        <v>162</v>
      </c>
      <c r="Q1027" s="240">
        <f t="shared" si="354"/>
        <v>4</v>
      </c>
      <c r="R1027" s="239">
        <v>1</v>
      </c>
      <c r="S1027" s="240">
        <f t="shared" si="334"/>
        <v>5</v>
      </c>
      <c r="T1027" s="216" t="s">
        <v>48</v>
      </c>
      <c r="U1027" s="196" t="str">
        <f t="shared" si="335"/>
        <v>5 Hrs</v>
      </c>
    </row>
    <row r="1028" spans="3:21" s="185" customFormat="1" ht="20.25" customHeight="1">
      <c r="C1028" s="198"/>
      <c r="D1028" s="203">
        <f t="shared" ref="D1028:D1091" si="356">D1027+1</f>
        <v>1028</v>
      </c>
      <c r="E1028" s="207" t="s">
        <v>404</v>
      </c>
      <c r="F1028" s="211">
        <f t="shared" si="355"/>
        <v>1027</v>
      </c>
      <c r="G1028" s="206" t="s">
        <v>115</v>
      </c>
      <c r="H1028" s="206"/>
      <c r="I1028" s="224">
        <v>12</v>
      </c>
      <c r="J1028" s="208"/>
      <c r="K1028" s="234">
        <v>6</v>
      </c>
      <c r="L1028" s="208" t="s">
        <v>139</v>
      </c>
      <c r="M1028" s="235">
        <f>430*12*0.001</f>
        <v>5.16</v>
      </c>
      <c r="N1028" s="208" t="s">
        <v>249</v>
      </c>
      <c r="O1028" s="246">
        <f>VLOOKUP(I1028,BM!$A$2:$X$104,22,FALSE)</f>
        <v>1.6</v>
      </c>
      <c r="P1028" s="208" t="s">
        <v>162</v>
      </c>
      <c r="Q1028" s="240">
        <f t="shared" si="354"/>
        <v>8.2560000000000002</v>
      </c>
      <c r="R1028" s="239">
        <v>1</v>
      </c>
      <c r="S1028" s="240">
        <f t="shared" si="334"/>
        <v>9.26</v>
      </c>
      <c r="T1028" s="216" t="s">
        <v>48</v>
      </c>
      <c r="U1028" s="196" t="str">
        <f t="shared" si="335"/>
        <v>9.26 Hrs</v>
      </c>
    </row>
    <row r="1029" spans="3:21" s="185" customFormat="1" ht="20.25" customHeight="1">
      <c r="C1029" s="198">
        <f>D1029</f>
        <v>1029</v>
      </c>
      <c r="D1029" s="203">
        <f t="shared" si="356"/>
        <v>1029</v>
      </c>
      <c r="E1029" s="204" t="s">
        <v>405</v>
      </c>
      <c r="F1029" s="249">
        <v>1025</v>
      </c>
      <c r="G1029" s="206"/>
      <c r="H1029" s="206"/>
      <c r="I1029" s="208"/>
      <c r="J1029" s="208"/>
      <c r="K1029" s="234"/>
      <c r="L1029" s="208"/>
      <c r="M1029" s="217"/>
      <c r="N1029" s="208"/>
      <c r="O1029" s="218"/>
      <c r="P1029" s="208"/>
      <c r="Q1029" s="240"/>
      <c r="R1029" s="239"/>
      <c r="S1029" s="240"/>
      <c r="T1029" s="216"/>
      <c r="U1029" s="196"/>
    </row>
    <row r="1030" spans="3:21" s="185" customFormat="1" ht="20.25" customHeight="1">
      <c r="C1030" s="198"/>
      <c r="D1030" s="203">
        <f t="shared" si="356"/>
        <v>1030</v>
      </c>
      <c r="E1030" s="207" t="s">
        <v>406</v>
      </c>
      <c r="F1030" s="211"/>
      <c r="G1030" s="206" t="s">
        <v>44</v>
      </c>
      <c r="H1030" s="206"/>
      <c r="I1030" s="224">
        <v>18</v>
      </c>
      <c r="J1030" s="234" t="s">
        <v>407</v>
      </c>
      <c r="K1030" s="234">
        <v>1</v>
      </c>
      <c r="L1030" s="208" t="s">
        <v>39</v>
      </c>
      <c r="M1030" s="217">
        <v>1</v>
      </c>
      <c r="N1030" s="208"/>
      <c r="O1030" s="218">
        <v>12</v>
      </c>
      <c r="P1030" s="208" t="s">
        <v>162</v>
      </c>
      <c r="Q1030" s="240">
        <f t="shared" ref="Q1030:Q1031" si="357">M1030*O1030</f>
        <v>12</v>
      </c>
      <c r="R1030" s="239">
        <v>1</v>
      </c>
      <c r="S1030" s="240">
        <f t="shared" si="334"/>
        <v>13</v>
      </c>
      <c r="T1030" s="216" t="s">
        <v>48</v>
      </c>
      <c r="U1030" s="196" t="str">
        <f t="shared" si="335"/>
        <v>13 Hrs</v>
      </c>
    </row>
    <row r="1031" spans="3:21" s="185" customFormat="1" ht="20.25" customHeight="1">
      <c r="C1031" s="198"/>
      <c r="D1031" s="203">
        <f t="shared" si="356"/>
        <v>1031</v>
      </c>
      <c r="E1031" s="207" t="s">
        <v>64</v>
      </c>
      <c r="F1031" s="211">
        <f t="shared" ref="F1031" si="358">D1030</f>
        <v>1030</v>
      </c>
      <c r="G1031" s="206" t="s">
        <v>44</v>
      </c>
      <c r="H1031" s="206"/>
      <c r="I1031" s="224">
        <v>18</v>
      </c>
      <c r="J1031" s="225" t="str">
        <f>J1030</f>
        <v>6130 lg</v>
      </c>
      <c r="K1031" s="225">
        <f>K1030</f>
        <v>1</v>
      </c>
      <c r="L1031" s="211" t="str">
        <f>L1030</f>
        <v>No</v>
      </c>
      <c r="M1031" s="235">
        <f>M1030</f>
        <v>1</v>
      </c>
      <c r="N1031" s="208"/>
      <c r="O1031" s="218">
        <v>1</v>
      </c>
      <c r="P1031" s="208" t="s">
        <v>41</v>
      </c>
      <c r="Q1031" s="240">
        <f t="shared" si="357"/>
        <v>1</v>
      </c>
      <c r="R1031" s="239"/>
      <c r="S1031" s="240">
        <f t="shared" si="334"/>
        <v>1</v>
      </c>
      <c r="T1031" s="216" t="s">
        <v>42</v>
      </c>
      <c r="U1031" s="196" t="str">
        <f t="shared" si="335"/>
        <v>1 Days</v>
      </c>
    </row>
    <row r="1032" spans="3:21" s="185" customFormat="1" ht="20.25" customHeight="1">
      <c r="C1032" s="198">
        <f t="shared" ref="C1032:C1033" si="359">D1032</f>
        <v>1032</v>
      </c>
      <c r="D1032" s="203">
        <f t="shared" si="356"/>
        <v>1032</v>
      </c>
      <c r="E1032" s="251" t="s">
        <v>408</v>
      </c>
      <c r="F1032" s="210"/>
      <c r="G1032" s="206"/>
      <c r="H1032" s="206"/>
      <c r="I1032" s="208"/>
      <c r="J1032" s="208"/>
      <c r="K1032" s="234"/>
      <c r="L1032" s="208"/>
      <c r="M1032" s="217"/>
      <c r="N1032" s="208"/>
      <c r="O1032" s="218"/>
      <c r="P1032" s="208"/>
      <c r="Q1032" s="240"/>
      <c r="R1032" s="239"/>
      <c r="S1032" s="240"/>
      <c r="T1032" s="216"/>
      <c r="U1032" s="196"/>
    </row>
    <row r="1033" spans="3:21" s="185" customFormat="1" ht="20.25" customHeight="1">
      <c r="C1033" s="198">
        <f t="shared" si="359"/>
        <v>1033</v>
      </c>
      <c r="D1033" s="203">
        <f t="shared" si="356"/>
        <v>1033</v>
      </c>
      <c r="E1033" s="204" t="s">
        <v>409</v>
      </c>
      <c r="F1033" s="210">
        <f>D1101</f>
        <v>1101</v>
      </c>
      <c r="G1033" s="206"/>
      <c r="H1033" s="206"/>
      <c r="I1033" s="208"/>
      <c r="J1033" s="208"/>
      <c r="K1033" s="234"/>
      <c r="L1033" s="208"/>
      <c r="M1033" s="217"/>
      <c r="N1033" s="208"/>
      <c r="O1033" s="218"/>
      <c r="P1033" s="208"/>
      <c r="Q1033" s="240"/>
      <c r="R1033" s="239"/>
      <c r="S1033" s="240"/>
      <c r="T1033" s="216"/>
      <c r="U1033" s="196"/>
    </row>
    <row r="1034" spans="3:21" s="185" customFormat="1" ht="20.25" customHeight="1">
      <c r="C1034" s="198"/>
      <c r="D1034" s="203">
        <f t="shared" si="356"/>
        <v>1034</v>
      </c>
      <c r="E1034" s="207" t="s">
        <v>410</v>
      </c>
      <c r="F1034" s="211"/>
      <c r="G1034" s="206" t="s">
        <v>37</v>
      </c>
      <c r="H1034" s="206"/>
      <c r="I1034" s="208"/>
      <c r="J1034" s="208"/>
      <c r="K1034" s="234">
        <v>1</v>
      </c>
      <c r="L1034" s="208" t="s">
        <v>39</v>
      </c>
      <c r="M1034" s="217">
        <v>1</v>
      </c>
      <c r="N1034" s="208" t="s">
        <v>39</v>
      </c>
      <c r="O1034" s="218">
        <v>4</v>
      </c>
      <c r="P1034" s="208" t="s">
        <v>41</v>
      </c>
      <c r="Q1034" s="240">
        <f t="shared" ref="Q1034:Q1039" si="360">M1034*O1034</f>
        <v>4</v>
      </c>
      <c r="R1034" s="239"/>
      <c r="S1034" s="240">
        <f t="shared" si="334"/>
        <v>4</v>
      </c>
      <c r="T1034" s="216" t="s">
        <v>42</v>
      </c>
      <c r="U1034" s="196" t="str">
        <f t="shared" si="335"/>
        <v>4 Days</v>
      </c>
    </row>
    <row r="1035" spans="3:21" s="185" customFormat="1" ht="20.25" customHeight="1">
      <c r="C1035" s="198"/>
      <c r="D1035" s="203">
        <f t="shared" si="356"/>
        <v>1035</v>
      </c>
      <c r="E1035" s="207" t="s">
        <v>411</v>
      </c>
      <c r="F1035" s="211">
        <f t="shared" ref="F1035:F1039" si="361">D1034</f>
        <v>1034</v>
      </c>
      <c r="G1035" s="206" t="s">
        <v>201</v>
      </c>
      <c r="H1035" s="206"/>
      <c r="I1035" s="224">
        <v>18</v>
      </c>
      <c r="J1035" s="234" t="s">
        <v>412</v>
      </c>
      <c r="K1035" s="234">
        <v>1</v>
      </c>
      <c r="L1035" s="208" t="s">
        <v>81</v>
      </c>
      <c r="M1035" s="227">
        <f t="shared" ref="M1035:M1039" si="362">LEFT(J1035,SEARCH(" ",J1035,1)-1)*K1035*0.001</f>
        <v>0.83100000000000007</v>
      </c>
      <c r="N1035" s="208" t="s">
        <v>139</v>
      </c>
      <c r="O1035" s="246">
        <f>VLOOKUP(I1035,BM!$A$2:$X$104,2,FALSE)</f>
        <v>0.1</v>
      </c>
      <c r="P1035" s="208" t="s">
        <v>112</v>
      </c>
      <c r="Q1035" s="240">
        <f t="shared" si="360"/>
        <v>8.3100000000000007E-2</v>
      </c>
      <c r="R1035" s="239">
        <v>1</v>
      </c>
      <c r="S1035" s="240">
        <f t="shared" si="334"/>
        <v>1.08</v>
      </c>
      <c r="T1035" s="216" t="s">
        <v>48</v>
      </c>
      <c r="U1035" s="196" t="str">
        <f t="shared" si="335"/>
        <v>1.08 Hrs</v>
      </c>
    </row>
    <row r="1036" spans="3:21" s="185" customFormat="1" ht="20.25" customHeight="1">
      <c r="C1036" s="198"/>
      <c r="D1036" s="203">
        <f t="shared" si="356"/>
        <v>1036</v>
      </c>
      <c r="E1036" s="207" t="s">
        <v>413</v>
      </c>
      <c r="F1036" s="211">
        <f t="shared" si="361"/>
        <v>1035</v>
      </c>
      <c r="G1036" s="206" t="s">
        <v>52</v>
      </c>
      <c r="H1036" s="206"/>
      <c r="I1036" s="233">
        <f t="shared" ref="I1036:J1039" si="363">I1035</f>
        <v>18</v>
      </c>
      <c r="J1036" s="211" t="str">
        <f t="shared" si="363"/>
        <v>831 mm</v>
      </c>
      <c r="K1036" s="234">
        <v>1</v>
      </c>
      <c r="L1036" s="208" t="s">
        <v>81</v>
      </c>
      <c r="M1036" s="227">
        <f t="shared" si="362"/>
        <v>0.83100000000000007</v>
      </c>
      <c r="N1036" s="208" t="s">
        <v>139</v>
      </c>
      <c r="O1036" s="246">
        <f>VLOOKUP(I1036,BM!$A$2:$X$104,3,FALSE)</f>
        <v>0.25</v>
      </c>
      <c r="P1036" s="208" t="s">
        <v>112</v>
      </c>
      <c r="Q1036" s="240">
        <f t="shared" si="360"/>
        <v>0.20775000000000002</v>
      </c>
      <c r="R1036" s="239">
        <v>1</v>
      </c>
      <c r="S1036" s="240">
        <f t="shared" si="334"/>
        <v>1.21</v>
      </c>
      <c r="T1036" s="216" t="s">
        <v>48</v>
      </c>
      <c r="U1036" s="196" t="str">
        <f t="shared" si="335"/>
        <v>1.21 Hrs</v>
      </c>
    </row>
    <row r="1037" spans="3:21" s="185" customFormat="1" ht="20.25" customHeight="1">
      <c r="C1037" s="198"/>
      <c r="D1037" s="203">
        <f t="shared" si="356"/>
        <v>1037</v>
      </c>
      <c r="E1037" s="207" t="s">
        <v>414</v>
      </c>
      <c r="F1037" s="211">
        <f t="shared" si="361"/>
        <v>1036</v>
      </c>
      <c r="G1037" s="206" t="s">
        <v>61</v>
      </c>
      <c r="H1037" s="206"/>
      <c r="I1037" s="233">
        <f t="shared" si="363"/>
        <v>18</v>
      </c>
      <c r="J1037" s="211" t="str">
        <f t="shared" si="363"/>
        <v>831 mm</v>
      </c>
      <c r="K1037" s="234">
        <v>1</v>
      </c>
      <c r="L1037" s="208" t="s">
        <v>81</v>
      </c>
      <c r="M1037" s="227">
        <f t="shared" si="362"/>
        <v>0.83100000000000007</v>
      </c>
      <c r="N1037" s="208" t="s">
        <v>139</v>
      </c>
      <c r="O1037" s="246">
        <f>VLOOKUP(I1037,BM!$A$2:$X$104,4,FALSE)</f>
        <v>0.15</v>
      </c>
      <c r="P1037" s="208" t="s">
        <v>112</v>
      </c>
      <c r="Q1037" s="240">
        <f t="shared" si="360"/>
        <v>0.12465000000000001</v>
      </c>
      <c r="R1037" s="239">
        <v>1</v>
      </c>
      <c r="S1037" s="240">
        <f t="shared" si="334"/>
        <v>1.1200000000000001</v>
      </c>
      <c r="T1037" s="216" t="s">
        <v>48</v>
      </c>
      <c r="U1037" s="196" t="str">
        <f t="shared" si="335"/>
        <v>1.12 Hrs</v>
      </c>
    </row>
    <row r="1038" spans="3:21" s="185" customFormat="1" ht="20.25" customHeight="1">
      <c r="C1038" s="198"/>
      <c r="D1038" s="203">
        <f t="shared" si="356"/>
        <v>1038</v>
      </c>
      <c r="E1038" s="207" t="s">
        <v>415</v>
      </c>
      <c r="F1038" s="211">
        <f t="shared" si="361"/>
        <v>1037</v>
      </c>
      <c r="G1038" s="206" t="s">
        <v>224</v>
      </c>
      <c r="H1038" s="206"/>
      <c r="I1038" s="233">
        <f t="shared" si="363"/>
        <v>18</v>
      </c>
      <c r="J1038" s="211" t="str">
        <f t="shared" si="363"/>
        <v>831 mm</v>
      </c>
      <c r="K1038" s="234">
        <v>1</v>
      </c>
      <c r="L1038" s="208" t="s">
        <v>81</v>
      </c>
      <c r="M1038" s="227">
        <f t="shared" si="362"/>
        <v>0.83100000000000007</v>
      </c>
      <c r="N1038" s="208" t="s">
        <v>139</v>
      </c>
      <c r="O1038" s="246">
        <f>VLOOKUP(I1038,BM!$A$2:$X$104,5,FALSE)</f>
        <v>0.5</v>
      </c>
      <c r="P1038" s="208" t="s">
        <v>112</v>
      </c>
      <c r="Q1038" s="240">
        <f t="shared" si="360"/>
        <v>0.41550000000000004</v>
      </c>
      <c r="R1038" s="239">
        <v>1</v>
      </c>
      <c r="S1038" s="240">
        <f t="shared" si="334"/>
        <v>1.42</v>
      </c>
      <c r="T1038" s="216" t="s">
        <v>48</v>
      </c>
      <c r="U1038" s="196" t="str">
        <f t="shared" si="335"/>
        <v>1.42 Hrs</v>
      </c>
    </row>
    <row r="1039" spans="3:21" s="185" customFormat="1" ht="20.25" customHeight="1">
      <c r="C1039" s="198"/>
      <c r="D1039" s="203">
        <f t="shared" si="356"/>
        <v>1039</v>
      </c>
      <c r="E1039" s="207" t="s">
        <v>416</v>
      </c>
      <c r="F1039" s="211">
        <f t="shared" si="361"/>
        <v>1038</v>
      </c>
      <c r="G1039" s="206" t="s">
        <v>61</v>
      </c>
      <c r="H1039" s="206"/>
      <c r="I1039" s="233">
        <f t="shared" si="363"/>
        <v>18</v>
      </c>
      <c r="J1039" s="211" t="str">
        <f t="shared" si="363"/>
        <v>831 mm</v>
      </c>
      <c r="K1039" s="234">
        <v>1</v>
      </c>
      <c r="L1039" s="208" t="s">
        <v>81</v>
      </c>
      <c r="M1039" s="227">
        <f t="shared" si="362"/>
        <v>0.83100000000000007</v>
      </c>
      <c r="N1039" s="208" t="s">
        <v>139</v>
      </c>
      <c r="O1039" s="246">
        <f>VLOOKUP(I1039,BM!$A$2:$X$104,6,FALSE)</f>
        <v>1</v>
      </c>
      <c r="P1039" s="208" t="s">
        <v>112</v>
      </c>
      <c r="Q1039" s="240">
        <f t="shared" si="360"/>
        <v>0.83100000000000007</v>
      </c>
      <c r="R1039" s="239">
        <v>1</v>
      </c>
      <c r="S1039" s="240">
        <f t="shared" si="334"/>
        <v>1.83</v>
      </c>
      <c r="T1039" s="216" t="s">
        <v>48</v>
      </c>
      <c r="U1039" s="196" t="str">
        <f t="shared" si="335"/>
        <v>1.83 Hrs</v>
      </c>
    </row>
    <row r="1040" spans="3:21" s="185" customFormat="1" ht="20.25" customHeight="1">
      <c r="C1040" s="198">
        <f>D1040</f>
        <v>1040</v>
      </c>
      <c r="D1040" s="203">
        <f t="shared" si="356"/>
        <v>1040</v>
      </c>
      <c r="E1040" s="204" t="s">
        <v>417</v>
      </c>
      <c r="F1040" s="210">
        <f>D1033</f>
        <v>1033</v>
      </c>
      <c r="G1040" s="206"/>
      <c r="H1040" s="206"/>
      <c r="I1040" s="208"/>
      <c r="J1040" s="208"/>
      <c r="K1040" s="234"/>
      <c r="L1040" s="208"/>
      <c r="M1040" s="217"/>
      <c r="N1040" s="208"/>
      <c r="O1040" s="218"/>
      <c r="P1040" s="208"/>
      <c r="Q1040" s="240"/>
      <c r="R1040" s="239"/>
      <c r="S1040" s="240"/>
      <c r="T1040" s="216"/>
      <c r="U1040" s="196"/>
    </row>
    <row r="1041" spans="3:21" s="185" customFormat="1" ht="20.25" customHeight="1">
      <c r="C1041" s="198"/>
      <c r="D1041" s="203">
        <f t="shared" si="356"/>
        <v>1041</v>
      </c>
      <c r="E1041" s="207" t="s">
        <v>418</v>
      </c>
      <c r="F1041" s="211"/>
      <c r="G1041" s="206" t="s">
        <v>286</v>
      </c>
      <c r="H1041" s="206"/>
      <c r="I1041" s="233">
        <f>I1039</f>
        <v>18</v>
      </c>
      <c r="J1041" s="211" t="str">
        <f>J1039</f>
        <v>831 mm</v>
      </c>
      <c r="K1041" s="234">
        <v>1</v>
      </c>
      <c r="L1041" s="208" t="s">
        <v>81</v>
      </c>
      <c r="M1041" s="217">
        <v>1</v>
      </c>
      <c r="N1041" s="208" t="s">
        <v>139</v>
      </c>
      <c r="O1041" s="218">
        <v>3</v>
      </c>
      <c r="P1041" s="208" t="s">
        <v>112</v>
      </c>
      <c r="Q1041" s="240">
        <f t="shared" ref="Q1041:Q1044" si="364">M1041*O1041</f>
        <v>3</v>
      </c>
      <c r="R1041" s="239">
        <v>1</v>
      </c>
      <c r="S1041" s="240">
        <f t="shared" si="334"/>
        <v>4</v>
      </c>
      <c r="T1041" s="216" t="s">
        <v>48</v>
      </c>
      <c r="U1041" s="196" t="str">
        <f t="shared" si="335"/>
        <v>4 Hrs</v>
      </c>
    </row>
    <row r="1042" spans="3:21" s="185" customFormat="1" ht="20.25" customHeight="1">
      <c r="C1042" s="198"/>
      <c r="D1042" s="203">
        <f t="shared" si="356"/>
        <v>1042</v>
      </c>
      <c r="E1042" s="207" t="s">
        <v>419</v>
      </c>
      <c r="F1042" s="211">
        <f t="shared" ref="F1042:F1044" si="365">D1041</f>
        <v>1041</v>
      </c>
      <c r="G1042" s="206" t="s">
        <v>420</v>
      </c>
      <c r="H1042" s="206"/>
      <c r="I1042" s="233">
        <f t="shared" ref="I1042:J1044" si="366">I1041</f>
        <v>18</v>
      </c>
      <c r="J1042" s="211" t="str">
        <f t="shared" si="366"/>
        <v>831 mm</v>
      </c>
      <c r="K1042" s="234">
        <v>1</v>
      </c>
      <c r="L1042" s="208" t="s">
        <v>81</v>
      </c>
      <c r="M1042" s="227">
        <f>LEFT(J1042,SEARCH(" ",J1042,1)-1)*K1042*0.001*2</f>
        <v>1.6620000000000001</v>
      </c>
      <c r="N1042" s="208" t="s">
        <v>139</v>
      </c>
      <c r="O1042" s="246">
        <f>VLOOKUP(I1042,BM!$A$2:$X$104,8,FALSE)</f>
        <v>0.3</v>
      </c>
      <c r="P1042" s="208" t="s">
        <v>112</v>
      </c>
      <c r="Q1042" s="240">
        <f t="shared" si="364"/>
        <v>0.49860000000000004</v>
      </c>
      <c r="R1042" s="239">
        <v>1</v>
      </c>
      <c r="S1042" s="240">
        <f t="shared" si="334"/>
        <v>1.5</v>
      </c>
      <c r="T1042" s="216" t="s">
        <v>48</v>
      </c>
      <c r="U1042" s="196" t="str">
        <f t="shared" si="335"/>
        <v>1.5 Hrs</v>
      </c>
    </row>
    <row r="1043" spans="3:21" s="185" customFormat="1" ht="20.25" customHeight="1">
      <c r="C1043" s="198"/>
      <c r="D1043" s="203">
        <f t="shared" si="356"/>
        <v>1043</v>
      </c>
      <c r="E1043" s="207" t="s">
        <v>421</v>
      </c>
      <c r="F1043" s="211">
        <f t="shared" si="365"/>
        <v>1042</v>
      </c>
      <c r="G1043" s="206" t="s">
        <v>348</v>
      </c>
      <c r="H1043" s="206"/>
      <c r="I1043" s="233">
        <f t="shared" si="366"/>
        <v>18</v>
      </c>
      <c r="J1043" s="211" t="str">
        <f t="shared" si="366"/>
        <v>831 mm</v>
      </c>
      <c r="K1043" s="234">
        <v>1</v>
      </c>
      <c r="L1043" s="208" t="s">
        <v>81</v>
      </c>
      <c r="M1043" s="227">
        <f>LEFT(J1043,SEARCH(" ",J1043,1)-1)*K1043*0.001*2</f>
        <v>1.6620000000000001</v>
      </c>
      <c r="N1043" s="208" t="s">
        <v>139</v>
      </c>
      <c r="O1043" s="246">
        <f>VLOOKUP(I1043,BM!$A$2:$X$104,9,FALSE)</f>
        <v>1</v>
      </c>
      <c r="P1043" s="208" t="s">
        <v>112</v>
      </c>
      <c r="Q1043" s="240">
        <f t="shared" si="364"/>
        <v>1.6620000000000001</v>
      </c>
      <c r="R1043" s="239">
        <v>1</v>
      </c>
      <c r="S1043" s="240">
        <f t="shared" si="334"/>
        <v>2.66</v>
      </c>
      <c r="T1043" s="216" t="s">
        <v>48</v>
      </c>
      <c r="U1043" s="196" t="str">
        <f t="shared" si="335"/>
        <v>2.66 Hrs</v>
      </c>
    </row>
    <row r="1044" spans="3:21" s="185" customFormat="1" ht="20.25" customHeight="1">
      <c r="C1044" s="198"/>
      <c r="D1044" s="203">
        <f t="shared" si="356"/>
        <v>1044</v>
      </c>
      <c r="E1044" s="207" t="s">
        <v>422</v>
      </c>
      <c r="F1044" s="211">
        <f t="shared" si="365"/>
        <v>1043</v>
      </c>
      <c r="G1044" s="206" t="s">
        <v>286</v>
      </c>
      <c r="H1044" s="206"/>
      <c r="I1044" s="233">
        <f t="shared" si="366"/>
        <v>18</v>
      </c>
      <c r="J1044" s="211" t="str">
        <f t="shared" si="366"/>
        <v>831 mm</v>
      </c>
      <c r="K1044" s="234">
        <v>1</v>
      </c>
      <c r="L1044" s="208" t="s">
        <v>81</v>
      </c>
      <c r="M1044" s="227">
        <v>1</v>
      </c>
      <c r="N1044" s="208" t="s">
        <v>39</v>
      </c>
      <c r="O1044" s="218">
        <v>3</v>
      </c>
      <c r="P1044" s="208" t="s">
        <v>112</v>
      </c>
      <c r="Q1044" s="240">
        <f t="shared" si="364"/>
        <v>3</v>
      </c>
      <c r="R1044" s="239">
        <v>1</v>
      </c>
      <c r="S1044" s="240">
        <f t="shared" si="334"/>
        <v>4</v>
      </c>
      <c r="T1044" s="216" t="s">
        <v>48</v>
      </c>
      <c r="U1044" s="196" t="str">
        <f t="shared" si="335"/>
        <v>4 Hrs</v>
      </c>
    </row>
    <row r="1045" spans="3:21" s="185" customFormat="1" ht="20.25" customHeight="1">
      <c r="C1045" s="198">
        <f>D1045</f>
        <v>1045</v>
      </c>
      <c r="D1045" s="203">
        <f t="shared" si="356"/>
        <v>1045</v>
      </c>
      <c r="E1045" s="204" t="s">
        <v>423</v>
      </c>
      <c r="F1045" s="210">
        <f>D1040</f>
        <v>1040</v>
      </c>
      <c r="G1045" s="206"/>
      <c r="H1045" s="206"/>
      <c r="I1045" s="208"/>
      <c r="J1045" s="208"/>
      <c r="K1045" s="234"/>
      <c r="L1045" s="208"/>
      <c r="M1045" s="217"/>
      <c r="N1045" s="208"/>
      <c r="O1045" s="218"/>
      <c r="P1045" s="208"/>
      <c r="Q1045" s="240"/>
      <c r="R1045" s="239"/>
      <c r="S1045" s="240"/>
      <c r="T1045" s="216"/>
      <c r="U1045" s="196"/>
    </row>
    <row r="1046" spans="3:21" s="185" customFormat="1" ht="20.25" customHeight="1">
      <c r="C1046" s="198"/>
      <c r="D1046" s="203">
        <f t="shared" si="356"/>
        <v>1046</v>
      </c>
      <c r="E1046" s="207" t="s">
        <v>424</v>
      </c>
      <c r="F1046" s="211"/>
      <c r="G1046" s="206" t="s">
        <v>348</v>
      </c>
      <c r="H1046" s="206"/>
      <c r="I1046" s="224">
        <v>18</v>
      </c>
      <c r="J1046" s="211" t="str">
        <f>J1044</f>
        <v>831 mm</v>
      </c>
      <c r="K1046" s="234">
        <v>1</v>
      </c>
      <c r="L1046" s="208" t="s">
        <v>81</v>
      </c>
      <c r="M1046" s="227">
        <f>LEFT(J1046,SEARCH(" ",J1046,1)-1)*K1046*0.001*2</f>
        <v>1.6620000000000001</v>
      </c>
      <c r="N1046" s="208" t="s">
        <v>139</v>
      </c>
      <c r="O1046" s="246">
        <f>VLOOKUP(I1046,BM!$A$2:$X$104,9,FALSE)</f>
        <v>1</v>
      </c>
      <c r="P1046" s="208" t="s">
        <v>112</v>
      </c>
      <c r="Q1046" s="240">
        <f t="shared" ref="Q1046:Q1047" si="367">M1046*O1046</f>
        <v>1.6620000000000001</v>
      </c>
      <c r="R1046" s="239">
        <v>1</v>
      </c>
      <c r="S1046" s="240">
        <f t="shared" si="334"/>
        <v>2.66</v>
      </c>
      <c r="T1046" s="216" t="s">
        <v>48</v>
      </c>
      <c r="U1046" s="196" t="str">
        <f t="shared" si="335"/>
        <v>2.66 Hrs</v>
      </c>
    </row>
    <row r="1047" spans="3:21" s="185" customFormat="1" ht="20.25" customHeight="1">
      <c r="C1047" s="198"/>
      <c r="D1047" s="203">
        <f t="shared" si="356"/>
        <v>1047</v>
      </c>
      <c r="E1047" s="207" t="s">
        <v>425</v>
      </c>
      <c r="F1047" s="211">
        <f t="shared" ref="F1047" si="368">D1046</f>
        <v>1046</v>
      </c>
      <c r="G1047" s="206" t="s">
        <v>111</v>
      </c>
      <c r="H1047" s="206"/>
      <c r="I1047" s="224">
        <v>18</v>
      </c>
      <c r="J1047" s="211" t="str">
        <f>J1046</f>
        <v>831 mm</v>
      </c>
      <c r="K1047" s="234">
        <v>1</v>
      </c>
      <c r="L1047" s="208" t="s">
        <v>81</v>
      </c>
      <c r="M1047" s="227">
        <f>LEFT(J1047,SEARCH(" ",J1047,1)-1)*K1047*0.001</f>
        <v>0.83100000000000007</v>
      </c>
      <c r="N1047" s="208" t="s">
        <v>139</v>
      </c>
      <c r="O1047" s="246">
        <f>VLOOKUP(I1047,BM!$A$2:$X$104,10,FALSE)</f>
        <v>1</v>
      </c>
      <c r="P1047" s="208" t="s">
        <v>112</v>
      </c>
      <c r="Q1047" s="240">
        <f t="shared" si="367"/>
        <v>0.83100000000000007</v>
      </c>
      <c r="R1047" s="239">
        <v>1</v>
      </c>
      <c r="S1047" s="240">
        <f t="shared" si="334"/>
        <v>1.83</v>
      </c>
      <c r="T1047" s="216" t="s">
        <v>48</v>
      </c>
      <c r="U1047" s="196" t="str">
        <f t="shared" si="335"/>
        <v>1.83 Hrs</v>
      </c>
    </row>
    <row r="1048" spans="3:21" s="185" customFormat="1" ht="20.25" customHeight="1">
      <c r="C1048" s="198">
        <f>D1048</f>
        <v>1048</v>
      </c>
      <c r="D1048" s="203">
        <f t="shared" si="356"/>
        <v>1048</v>
      </c>
      <c r="E1048" s="204" t="s">
        <v>426</v>
      </c>
      <c r="F1048" s="210">
        <f>D1045</f>
        <v>1045</v>
      </c>
      <c r="G1048" s="206"/>
      <c r="H1048" s="206"/>
      <c r="I1048" s="208"/>
      <c r="J1048" s="208"/>
      <c r="K1048" s="234"/>
      <c r="L1048" s="208"/>
      <c r="M1048" s="217"/>
      <c r="N1048" s="208"/>
      <c r="O1048" s="218"/>
      <c r="P1048" s="208"/>
      <c r="Q1048" s="240"/>
      <c r="R1048" s="239"/>
      <c r="S1048" s="240"/>
      <c r="T1048" s="216"/>
      <c r="U1048" s="196"/>
    </row>
    <row r="1049" spans="3:21" s="185" customFormat="1" ht="20.25" customHeight="1">
      <c r="C1049" s="198"/>
      <c r="D1049" s="203">
        <f t="shared" si="356"/>
        <v>1049</v>
      </c>
      <c r="E1049" s="207" t="s">
        <v>427</v>
      </c>
      <c r="F1049" s="211"/>
      <c r="G1049" s="206" t="s">
        <v>201</v>
      </c>
      <c r="H1049" s="206"/>
      <c r="I1049" s="224">
        <v>18</v>
      </c>
      <c r="J1049" s="211" t="str">
        <f>J1047</f>
        <v>831 mm</v>
      </c>
      <c r="K1049" s="234">
        <v>1</v>
      </c>
      <c r="L1049" s="208" t="s">
        <v>81</v>
      </c>
      <c r="M1049" s="217">
        <v>1</v>
      </c>
      <c r="N1049" s="208" t="s">
        <v>139</v>
      </c>
      <c r="O1049" s="218">
        <v>1</v>
      </c>
      <c r="P1049" s="208" t="s">
        <v>112</v>
      </c>
      <c r="Q1049" s="240">
        <f t="shared" ref="Q1049:Q1054" si="369">M1049*O1049</f>
        <v>1</v>
      </c>
      <c r="R1049" s="239">
        <v>1</v>
      </c>
      <c r="S1049" s="240">
        <f t="shared" si="334"/>
        <v>2</v>
      </c>
      <c r="T1049" s="216" t="s">
        <v>48</v>
      </c>
      <c r="U1049" s="196" t="str">
        <f t="shared" si="335"/>
        <v>2 Hrs</v>
      </c>
    </row>
    <row r="1050" spans="3:21" s="185" customFormat="1" ht="20.25" customHeight="1">
      <c r="C1050" s="198"/>
      <c r="D1050" s="203">
        <f t="shared" si="356"/>
        <v>1050</v>
      </c>
      <c r="E1050" s="207" t="s">
        <v>428</v>
      </c>
      <c r="F1050" s="211">
        <f t="shared" ref="F1050:F1054" si="370">D1049</f>
        <v>1049</v>
      </c>
      <c r="G1050" s="206" t="s">
        <v>115</v>
      </c>
      <c r="H1050" s="206"/>
      <c r="I1050" s="224">
        <v>12</v>
      </c>
      <c r="J1050" s="211" t="str">
        <f t="shared" ref="J1050:J1054" si="371">J1049</f>
        <v>831 mm</v>
      </c>
      <c r="K1050" s="234">
        <v>1</v>
      </c>
      <c r="L1050" s="208" t="s">
        <v>81</v>
      </c>
      <c r="M1050" s="227">
        <f t="shared" ref="M1050:M1053" si="372">LEFT(J1050,SEARCH(" ",J1050,1)-1)*K1050*0.001</f>
        <v>0.83100000000000007</v>
      </c>
      <c r="N1050" s="208" t="s">
        <v>139</v>
      </c>
      <c r="O1050" s="246">
        <f>VLOOKUP(I1050,BM!$A$2:$X$104,12,FALSE)</f>
        <v>2.5</v>
      </c>
      <c r="P1050" s="208" t="s">
        <v>112</v>
      </c>
      <c r="Q1050" s="240">
        <f t="shared" si="369"/>
        <v>2.0775000000000001</v>
      </c>
      <c r="R1050" s="239">
        <v>1</v>
      </c>
      <c r="S1050" s="240">
        <f t="shared" si="334"/>
        <v>3.08</v>
      </c>
      <c r="T1050" s="216" t="s">
        <v>48</v>
      </c>
      <c r="U1050" s="196" t="str">
        <f t="shared" si="335"/>
        <v>3.08 Hrs</v>
      </c>
    </row>
    <row r="1051" spans="3:21" s="185" customFormat="1" ht="20.25" customHeight="1">
      <c r="C1051" s="198"/>
      <c r="D1051" s="203">
        <f t="shared" si="356"/>
        <v>1051</v>
      </c>
      <c r="E1051" s="207" t="s">
        <v>429</v>
      </c>
      <c r="F1051" s="211">
        <f t="shared" si="370"/>
        <v>1050</v>
      </c>
      <c r="G1051" s="206" t="s">
        <v>121</v>
      </c>
      <c r="H1051" s="206"/>
      <c r="I1051" s="224">
        <v>18</v>
      </c>
      <c r="J1051" s="211" t="str">
        <f t="shared" si="371"/>
        <v>831 mm</v>
      </c>
      <c r="K1051" s="234">
        <v>1</v>
      </c>
      <c r="L1051" s="208" t="s">
        <v>81</v>
      </c>
      <c r="M1051" s="227">
        <f t="shared" si="372"/>
        <v>0.83100000000000007</v>
      </c>
      <c r="N1051" s="208" t="s">
        <v>139</v>
      </c>
      <c r="O1051" s="246">
        <f>VLOOKUP(I1051,BM!$A$2:$X$104,18,FALSE)</f>
        <v>1</v>
      </c>
      <c r="P1051" s="208" t="s">
        <v>112</v>
      </c>
      <c r="Q1051" s="240">
        <f t="shared" si="369"/>
        <v>0.83100000000000007</v>
      </c>
      <c r="R1051" s="239">
        <v>1</v>
      </c>
      <c r="S1051" s="240">
        <f t="shared" si="334"/>
        <v>1.83</v>
      </c>
      <c r="T1051" s="216" t="s">
        <v>48</v>
      </c>
      <c r="U1051" s="196" t="str">
        <f t="shared" si="335"/>
        <v>1.83 Hrs</v>
      </c>
    </row>
    <row r="1052" spans="3:21" s="185" customFormat="1" ht="20.25" customHeight="1">
      <c r="C1052" s="198"/>
      <c r="D1052" s="203">
        <f t="shared" si="356"/>
        <v>1052</v>
      </c>
      <c r="E1052" s="207" t="s">
        <v>430</v>
      </c>
      <c r="F1052" s="211">
        <f t="shared" si="370"/>
        <v>1051</v>
      </c>
      <c r="G1052" s="206" t="s">
        <v>115</v>
      </c>
      <c r="H1052" s="206"/>
      <c r="I1052" s="224">
        <v>6</v>
      </c>
      <c r="J1052" s="211" t="str">
        <f t="shared" si="371"/>
        <v>831 mm</v>
      </c>
      <c r="K1052" s="234">
        <v>1</v>
      </c>
      <c r="L1052" s="208" t="s">
        <v>81</v>
      </c>
      <c r="M1052" s="227">
        <f t="shared" si="372"/>
        <v>0.83100000000000007</v>
      </c>
      <c r="N1052" s="208" t="s">
        <v>139</v>
      </c>
      <c r="O1052" s="246">
        <f>VLOOKUP(I1052,BM!$A$2:$X$104,12,FALSE)</f>
        <v>0.9</v>
      </c>
      <c r="P1052" s="208" t="s">
        <v>112</v>
      </c>
      <c r="Q1052" s="240">
        <f t="shared" si="369"/>
        <v>0.74790000000000012</v>
      </c>
      <c r="R1052" s="239">
        <v>1</v>
      </c>
      <c r="S1052" s="240">
        <f t="shared" si="334"/>
        <v>1.75</v>
      </c>
      <c r="T1052" s="216" t="s">
        <v>48</v>
      </c>
      <c r="U1052" s="196" t="str">
        <f t="shared" si="335"/>
        <v>1.75 Hrs</v>
      </c>
    </row>
    <row r="1053" spans="3:21" s="185" customFormat="1" ht="20.25" customHeight="1">
      <c r="C1053" s="198"/>
      <c r="D1053" s="203">
        <f t="shared" si="356"/>
        <v>1053</v>
      </c>
      <c r="E1053" s="207" t="s">
        <v>431</v>
      </c>
      <c r="F1053" s="211">
        <f t="shared" si="370"/>
        <v>1052</v>
      </c>
      <c r="G1053" s="206" t="s">
        <v>61</v>
      </c>
      <c r="H1053" s="206"/>
      <c r="I1053" s="224">
        <v>6</v>
      </c>
      <c r="J1053" s="211" t="str">
        <f t="shared" si="371"/>
        <v>831 mm</v>
      </c>
      <c r="K1053" s="234">
        <v>1</v>
      </c>
      <c r="L1053" s="208" t="s">
        <v>81</v>
      </c>
      <c r="M1053" s="227">
        <f t="shared" si="372"/>
        <v>0.83100000000000007</v>
      </c>
      <c r="N1053" s="208" t="s">
        <v>139</v>
      </c>
      <c r="O1053" s="246">
        <f>VLOOKUP(I1053,BM!$A$2:$X$104,20,FALSE)</f>
        <v>0.5</v>
      </c>
      <c r="P1053" s="208" t="s">
        <v>112</v>
      </c>
      <c r="Q1053" s="240">
        <f t="shared" si="369"/>
        <v>0.41550000000000004</v>
      </c>
      <c r="R1053" s="239">
        <v>1</v>
      </c>
      <c r="S1053" s="240">
        <f t="shared" si="334"/>
        <v>1.42</v>
      </c>
      <c r="T1053" s="216" t="s">
        <v>48</v>
      </c>
      <c r="U1053" s="196" t="str">
        <f t="shared" si="335"/>
        <v>1.42 Hrs</v>
      </c>
    </row>
    <row r="1054" spans="3:21" s="185" customFormat="1" ht="20.25" customHeight="1">
      <c r="C1054" s="198"/>
      <c r="D1054" s="203">
        <f t="shared" si="356"/>
        <v>1054</v>
      </c>
      <c r="E1054" s="207" t="s">
        <v>432</v>
      </c>
      <c r="F1054" s="211">
        <f t="shared" si="370"/>
        <v>1053</v>
      </c>
      <c r="G1054" s="206" t="s">
        <v>286</v>
      </c>
      <c r="H1054" s="206"/>
      <c r="I1054" s="224">
        <v>18</v>
      </c>
      <c r="J1054" s="211" t="str">
        <f t="shared" si="371"/>
        <v>831 mm</v>
      </c>
      <c r="K1054" s="234">
        <v>1</v>
      </c>
      <c r="L1054" s="208" t="s">
        <v>81</v>
      </c>
      <c r="M1054" s="217">
        <v>1</v>
      </c>
      <c r="N1054" s="208" t="s">
        <v>81</v>
      </c>
      <c r="O1054" s="218">
        <v>3</v>
      </c>
      <c r="P1054" s="208" t="s">
        <v>112</v>
      </c>
      <c r="Q1054" s="240">
        <f t="shared" si="369"/>
        <v>3</v>
      </c>
      <c r="R1054" s="239">
        <v>1</v>
      </c>
      <c r="S1054" s="240">
        <f t="shared" ref="S1054:S1117" si="373">ROUND(Q1054+R1054,2)</f>
        <v>4</v>
      </c>
      <c r="T1054" s="216" t="s">
        <v>48</v>
      </c>
      <c r="U1054" s="196" t="str">
        <f t="shared" ref="U1054:U1114" si="374">CONCATENATE(S1054," ",T1054)</f>
        <v>4 Hrs</v>
      </c>
    </row>
    <row r="1055" spans="3:21" s="185" customFormat="1" ht="20.25" customHeight="1">
      <c r="C1055" s="198">
        <f>D1055</f>
        <v>1055</v>
      </c>
      <c r="D1055" s="203">
        <f t="shared" si="356"/>
        <v>1055</v>
      </c>
      <c r="E1055" s="204" t="s">
        <v>433</v>
      </c>
      <c r="F1055" s="210">
        <f>D1048</f>
        <v>1048</v>
      </c>
      <c r="G1055" s="206"/>
      <c r="H1055" s="206"/>
      <c r="I1055" s="208"/>
      <c r="J1055" s="208"/>
      <c r="K1055" s="234"/>
      <c r="L1055" s="208"/>
      <c r="M1055" s="217"/>
      <c r="N1055" s="208"/>
      <c r="O1055" s="218"/>
      <c r="P1055" s="208"/>
      <c r="Q1055" s="240"/>
      <c r="R1055" s="239"/>
      <c r="S1055" s="240"/>
      <c r="T1055" s="216"/>
      <c r="U1055" s="196"/>
    </row>
    <row r="1056" spans="3:21" s="185" customFormat="1" ht="20.25" customHeight="1">
      <c r="C1056" s="198"/>
      <c r="D1056" s="203">
        <f t="shared" si="356"/>
        <v>1056</v>
      </c>
      <c r="E1056" s="207" t="s">
        <v>434</v>
      </c>
      <c r="F1056" s="211"/>
      <c r="G1056" s="206" t="s">
        <v>312</v>
      </c>
      <c r="H1056" s="206"/>
      <c r="I1056" s="224">
        <v>18</v>
      </c>
      <c r="J1056" s="211" t="str">
        <f>J1054</f>
        <v>831 mm</v>
      </c>
      <c r="K1056" s="234">
        <v>1</v>
      </c>
      <c r="L1056" s="208" t="s">
        <v>39</v>
      </c>
      <c r="M1056" s="217">
        <v>1</v>
      </c>
      <c r="N1056" s="208" t="s">
        <v>39</v>
      </c>
      <c r="O1056" s="218">
        <v>1</v>
      </c>
      <c r="P1056" s="208" t="s">
        <v>435</v>
      </c>
      <c r="Q1056" s="240">
        <f t="shared" ref="Q1056" si="375">M1056*O1056</f>
        <v>1</v>
      </c>
      <c r="R1056" s="239"/>
      <c r="S1056" s="240">
        <f t="shared" si="373"/>
        <v>1</v>
      </c>
      <c r="T1056" s="216" t="s">
        <v>42</v>
      </c>
      <c r="U1056" s="196" t="str">
        <f t="shared" si="374"/>
        <v>1 Days</v>
      </c>
    </row>
    <row r="1057" spans="3:21" s="185" customFormat="1" ht="20.25" customHeight="1">
      <c r="C1057" s="198">
        <f>D1057</f>
        <v>1057</v>
      </c>
      <c r="D1057" s="203">
        <f t="shared" si="356"/>
        <v>1057</v>
      </c>
      <c r="E1057" s="204" t="s">
        <v>436</v>
      </c>
      <c r="F1057" s="210">
        <f>D1055</f>
        <v>1055</v>
      </c>
      <c r="G1057" s="206"/>
      <c r="H1057" s="206"/>
      <c r="I1057" s="208"/>
      <c r="J1057" s="208"/>
      <c r="K1057" s="234"/>
      <c r="L1057" s="208"/>
      <c r="M1057" s="217"/>
      <c r="N1057" s="208"/>
      <c r="O1057" s="218"/>
      <c r="P1057" s="208"/>
      <c r="Q1057" s="240"/>
      <c r="R1057" s="239"/>
      <c r="S1057" s="240"/>
      <c r="T1057" s="216"/>
      <c r="U1057" s="196"/>
    </row>
    <row r="1058" spans="3:21" s="185" customFormat="1" ht="20.25" customHeight="1">
      <c r="C1058" s="198"/>
      <c r="D1058" s="203">
        <f t="shared" si="356"/>
        <v>1058</v>
      </c>
      <c r="E1058" s="207" t="s">
        <v>437</v>
      </c>
      <c r="F1058" s="211"/>
      <c r="G1058" s="206" t="s">
        <v>348</v>
      </c>
      <c r="H1058" s="206"/>
      <c r="I1058" s="233">
        <f>I1056</f>
        <v>18</v>
      </c>
      <c r="J1058" s="225" t="s">
        <v>317</v>
      </c>
      <c r="K1058" s="234">
        <v>1</v>
      </c>
      <c r="L1058" s="208" t="s">
        <v>81</v>
      </c>
      <c r="M1058" s="227">
        <f>LEFT(J1058,SEARCH(" ",J1058,1)-1)*K1058*3.142*0.001*2</f>
        <v>9.8030399999999993</v>
      </c>
      <c r="N1058" s="208" t="s">
        <v>139</v>
      </c>
      <c r="O1058" s="246">
        <f>VLOOKUP(I1058,BM!$A$2:$X$104,13,FALSE)</f>
        <v>0.45</v>
      </c>
      <c r="P1058" s="208" t="s">
        <v>112</v>
      </c>
      <c r="Q1058" s="240">
        <f t="shared" ref="Q1058:Q1060" si="376">M1058*O1058</f>
        <v>4.4113679999999995</v>
      </c>
      <c r="R1058" s="239">
        <v>1</v>
      </c>
      <c r="S1058" s="240">
        <f t="shared" si="373"/>
        <v>5.41</v>
      </c>
      <c r="T1058" s="216" t="s">
        <v>48</v>
      </c>
      <c r="U1058" s="196" t="str">
        <f t="shared" si="374"/>
        <v>5.41 Hrs</v>
      </c>
    </row>
    <row r="1059" spans="3:21" s="185" customFormat="1" ht="20.25" customHeight="1">
      <c r="C1059" s="198"/>
      <c r="D1059" s="203">
        <f t="shared" si="356"/>
        <v>1059</v>
      </c>
      <c r="E1059" s="207" t="s">
        <v>438</v>
      </c>
      <c r="F1059" s="211">
        <f t="shared" ref="F1059:F1060" si="377">D1058</f>
        <v>1058</v>
      </c>
      <c r="G1059" s="206" t="s">
        <v>111</v>
      </c>
      <c r="H1059" s="206"/>
      <c r="I1059" s="224">
        <v>18</v>
      </c>
      <c r="J1059" s="208" t="str">
        <f>J1058</f>
        <v>1560 mm id</v>
      </c>
      <c r="K1059" s="234">
        <v>1</v>
      </c>
      <c r="L1059" s="208" t="s">
        <v>81</v>
      </c>
      <c r="M1059" s="227">
        <f>LEFT(J1059,SEARCH(" ",J1059,1)-1)*K1059*3.142*0.001</f>
        <v>4.9015199999999997</v>
      </c>
      <c r="N1059" s="208" t="s">
        <v>139</v>
      </c>
      <c r="O1059" s="246">
        <f>VLOOKUP(I1059,BM!$A$2:$X$104,16,FALSE)</f>
        <v>1</v>
      </c>
      <c r="P1059" s="208" t="s">
        <v>112</v>
      </c>
      <c r="Q1059" s="240">
        <f t="shared" si="376"/>
        <v>4.9015199999999997</v>
      </c>
      <c r="R1059" s="239">
        <v>1</v>
      </c>
      <c r="S1059" s="240">
        <f t="shared" si="373"/>
        <v>5.9</v>
      </c>
      <c r="T1059" s="216" t="s">
        <v>48</v>
      </c>
      <c r="U1059" s="196" t="str">
        <f t="shared" si="374"/>
        <v>5.9 Hrs</v>
      </c>
    </row>
    <row r="1060" spans="3:21" s="185" customFormat="1" ht="20.25" customHeight="1">
      <c r="C1060" s="198"/>
      <c r="D1060" s="203">
        <f t="shared" si="356"/>
        <v>1060</v>
      </c>
      <c r="E1060" s="207" t="s">
        <v>439</v>
      </c>
      <c r="F1060" s="211">
        <f t="shared" si="377"/>
        <v>1059</v>
      </c>
      <c r="G1060" s="206" t="s">
        <v>44</v>
      </c>
      <c r="H1060" s="206"/>
      <c r="I1060" s="224">
        <v>18</v>
      </c>
      <c r="J1060" s="208" t="str">
        <f>J1059</f>
        <v>1560 mm id</v>
      </c>
      <c r="K1060" s="234">
        <v>1</v>
      </c>
      <c r="L1060" s="208" t="s">
        <v>81</v>
      </c>
      <c r="M1060" s="217">
        <v>1</v>
      </c>
      <c r="N1060" s="208" t="s">
        <v>139</v>
      </c>
      <c r="O1060" s="218">
        <v>4</v>
      </c>
      <c r="P1060" s="208" t="s">
        <v>112</v>
      </c>
      <c r="Q1060" s="240">
        <f t="shared" si="376"/>
        <v>4</v>
      </c>
      <c r="R1060" s="239">
        <v>1</v>
      </c>
      <c r="S1060" s="240">
        <f t="shared" si="373"/>
        <v>5</v>
      </c>
      <c r="T1060" s="216" t="s">
        <v>48</v>
      </c>
      <c r="U1060" s="196" t="str">
        <f t="shared" si="374"/>
        <v>5 Hrs</v>
      </c>
    </row>
    <row r="1061" spans="3:21" s="185" customFormat="1" ht="20.25" customHeight="1">
      <c r="C1061" s="198">
        <f>D1061</f>
        <v>1061</v>
      </c>
      <c r="D1061" s="203">
        <f t="shared" si="356"/>
        <v>1061</v>
      </c>
      <c r="E1061" s="204" t="s">
        <v>440</v>
      </c>
      <c r="F1061" s="210">
        <f>D1057</f>
        <v>1057</v>
      </c>
      <c r="G1061" s="206"/>
      <c r="H1061" s="206"/>
      <c r="I1061" s="208"/>
      <c r="J1061" s="208"/>
      <c r="K1061" s="234"/>
      <c r="L1061" s="208"/>
      <c r="M1061" s="217"/>
      <c r="N1061" s="208"/>
      <c r="O1061" s="218"/>
      <c r="P1061" s="208"/>
      <c r="Q1061" s="240"/>
      <c r="R1061" s="239"/>
      <c r="S1061" s="240"/>
      <c r="T1061" s="216"/>
      <c r="U1061" s="196"/>
    </row>
    <row r="1062" spans="3:21" s="185" customFormat="1" ht="20.25" customHeight="1">
      <c r="C1062" s="198"/>
      <c r="D1062" s="203">
        <f t="shared" si="356"/>
        <v>1062</v>
      </c>
      <c r="E1062" s="207" t="s">
        <v>441</v>
      </c>
      <c r="F1062" s="211"/>
      <c r="G1062" s="206" t="s">
        <v>201</v>
      </c>
      <c r="H1062" s="206"/>
      <c r="I1062" s="224">
        <v>18</v>
      </c>
      <c r="J1062" s="208" t="str">
        <f>J1060</f>
        <v>1560 mm id</v>
      </c>
      <c r="K1062" s="234">
        <v>1</v>
      </c>
      <c r="L1062" s="208" t="s">
        <v>81</v>
      </c>
      <c r="M1062" s="217">
        <v>1</v>
      </c>
      <c r="N1062" s="208" t="s">
        <v>39</v>
      </c>
      <c r="O1062" s="218">
        <v>1</v>
      </c>
      <c r="P1062" s="208" t="s">
        <v>112</v>
      </c>
      <c r="Q1062" s="240">
        <f t="shared" ref="Q1062:Q1066" si="378">M1062*O1062</f>
        <v>1</v>
      </c>
      <c r="R1062" s="239">
        <v>1</v>
      </c>
      <c r="S1062" s="240">
        <f t="shared" si="373"/>
        <v>2</v>
      </c>
      <c r="T1062" s="216" t="s">
        <v>48</v>
      </c>
      <c r="U1062" s="196" t="str">
        <f t="shared" si="374"/>
        <v>2 Hrs</v>
      </c>
    </row>
    <row r="1063" spans="3:21" s="185" customFormat="1" ht="20.25" customHeight="1">
      <c r="C1063" s="198"/>
      <c r="D1063" s="203">
        <f t="shared" si="356"/>
        <v>1063</v>
      </c>
      <c r="E1063" s="207" t="s">
        <v>442</v>
      </c>
      <c r="F1063" s="211">
        <f t="shared" ref="F1063:F1066" si="379">D1062</f>
        <v>1062</v>
      </c>
      <c r="G1063" s="206" t="s">
        <v>115</v>
      </c>
      <c r="H1063" s="206"/>
      <c r="I1063" s="224">
        <v>12</v>
      </c>
      <c r="J1063" s="208" t="str">
        <f>J1062</f>
        <v>1560 mm id</v>
      </c>
      <c r="K1063" s="234">
        <v>1</v>
      </c>
      <c r="L1063" s="208" t="s">
        <v>81</v>
      </c>
      <c r="M1063" s="227">
        <f t="shared" ref="M1063:M1066" si="380">LEFT(J1063,SEARCH(" ",J1063,1)-1)*K1063*3.142*0.001</f>
        <v>4.9015199999999997</v>
      </c>
      <c r="N1063" s="208" t="s">
        <v>249</v>
      </c>
      <c r="O1063" s="246">
        <f>VLOOKUP(I1063,BM!$A$2:$X$104,17,FALSE)</f>
        <v>2.5</v>
      </c>
      <c r="P1063" s="208" t="s">
        <v>112</v>
      </c>
      <c r="Q1063" s="240">
        <f t="shared" si="378"/>
        <v>12.253799999999998</v>
      </c>
      <c r="R1063" s="239">
        <v>1</v>
      </c>
      <c r="S1063" s="240">
        <f t="shared" si="373"/>
        <v>13.25</v>
      </c>
      <c r="T1063" s="216" t="s">
        <v>48</v>
      </c>
      <c r="U1063" s="196" t="str">
        <f t="shared" si="374"/>
        <v>13.25 Hrs</v>
      </c>
    </row>
    <row r="1064" spans="3:21" s="185" customFormat="1" ht="20.25" customHeight="1">
      <c r="C1064" s="198"/>
      <c r="D1064" s="203">
        <f t="shared" si="356"/>
        <v>1064</v>
      </c>
      <c r="E1064" s="207" t="s">
        <v>443</v>
      </c>
      <c r="F1064" s="211">
        <f t="shared" si="379"/>
        <v>1063</v>
      </c>
      <c r="G1064" s="206" t="s">
        <v>61</v>
      </c>
      <c r="H1064" s="206"/>
      <c r="I1064" s="224">
        <v>18</v>
      </c>
      <c r="J1064" s="208" t="str">
        <f>J1063</f>
        <v>1560 mm id</v>
      </c>
      <c r="K1064" s="234">
        <v>1</v>
      </c>
      <c r="L1064" s="208" t="s">
        <v>81</v>
      </c>
      <c r="M1064" s="227">
        <f t="shared" si="380"/>
        <v>4.9015199999999997</v>
      </c>
      <c r="N1064" s="208" t="s">
        <v>249</v>
      </c>
      <c r="O1064" s="246">
        <f>VLOOKUP(I1064,BM!$A$2:$X$104,18,FALSE)</f>
        <v>1</v>
      </c>
      <c r="P1064" s="208" t="s">
        <v>112</v>
      </c>
      <c r="Q1064" s="240">
        <f t="shared" si="378"/>
        <v>4.9015199999999997</v>
      </c>
      <c r="R1064" s="239">
        <v>1</v>
      </c>
      <c r="S1064" s="240">
        <f t="shared" si="373"/>
        <v>5.9</v>
      </c>
      <c r="T1064" s="216" t="s">
        <v>48</v>
      </c>
      <c r="U1064" s="196" t="str">
        <f t="shared" si="374"/>
        <v>5.9 Hrs</v>
      </c>
    </row>
    <row r="1065" spans="3:21" s="185" customFormat="1" ht="20.25" customHeight="1">
      <c r="C1065" s="198"/>
      <c r="D1065" s="203">
        <f t="shared" si="356"/>
        <v>1065</v>
      </c>
      <c r="E1065" s="207" t="s">
        <v>444</v>
      </c>
      <c r="F1065" s="211">
        <f t="shared" si="379"/>
        <v>1064</v>
      </c>
      <c r="G1065" s="206" t="s">
        <v>115</v>
      </c>
      <c r="H1065" s="206"/>
      <c r="I1065" s="224">
        <v>8</v>
      </c>
      <c r="J1065" s="208" t="str">
        <f>J1064</f>
        <v>1560 mm id</v>
      </c>
      <c r="K1065" s="234">
        <v>1</v>
      </c>
      <c r="L1065" s="208" t="s">
        <v>81</v>
      </c>
      <c r="M1065" s="227">
        <f t="shared" si="380"/>
        <v>4.9015199999999997</v>
      </c>
      <c r="N1065" s="208" t="s">
        <v>249</v>
      </c>
      <c r="O1065" s="246">
        <f>VLOOKUP(I1065,BM!$A$2:$X$104,17,FALSE)</f>
        <v>1.36</v>
      </c>
      <c r="P1065" s="208" t="s">
        <v>112</v>
      </c>
      <c r="Q1065" s="240">
        <f t="shared" si="378"/>
        <v>6.6660671999999996</v>
      </c>
      <c r="R1065" s="239">
        <v>1</v>
      </c>
      <c r="S1065" s="240">
        <f t="shared" si="373"/>
        <v>7.67</v>
      </c>
      <c r="T1065" s="216" t="s">
        <v>48</v>
      </c>
      <c r="U1065" s="196" t="str">
        <f t="shared" si="374"/>
        <v>7.67 Hrs</v>
      </c>
    </row>
    <row r="1066" spans="3:21" s="185" customFormat="1" ht="20.25" customHeight="1">
      <c r="C1066" s="198"/>
      <c r="D1066" s="203">
        <f t="shared" si="356"/>
        <v>1066</v>
      </c>
      <c r="E1066" s="207" t="s">
        <v>445</v>
      </c>
      <c r="F1066" s="211">
        <f t="shared" si="379"/>
        <v>1065</v>
      </c>
      <c r="G1066" s="206" t="s">
        <v>61</v>
      </c>
      <c r="H1066" s="206"/>
      <c r="I1066" s="224">
        <v>18</v>
      </c>
      <c r="J1066" s="208" t="str">
        <f>J1065</f>
        <v>1560 mm id</v>
      </c>
      <c r="K1066" s="234">
        <v>1</v>
      </c>
      <c r="L1066" s="208" t="s">
        <v>81</v>
      </c>
      <c r="M1066" s="227">
        <f t="shared" si="380"/>
        <v>4.9015199999999997</v>
      </c>
      <c r="N1066" s="208" t="s">
        <v>249</v>
      </c>
      <c r="O1066" s="246">
        <f>VLOOKUP(I1066,BM!$A$2:$X$104,20,FALSE)</f>
        <v>0.5</v>
      </c>
      <c r="P1066" s="208" t="s">
        <v>112</v>
      </c>
      <c r="Q1066" s="240">
        <f t="shared" si="378"/>
        <v>2.4507599999999998</v>
      </c>
      <c r="R1066" s="239">
        <v>1</v>
      </c>
      <c r="S1066" s="240">
        <f t="shared" si="373"/>
        <v>3.45</v>
      </c>
      <c r="T1066" s="216" t="s">
        <v>48</v>
      </c>
      <c r="U1066" s="196" t="str">
        <f t="shared" si="374"/>
        <v>3.45 Hrs</v>
      </c>
    </row>
    <row r="1067" spans="3:21" s="185" customFormat="1" ht="20.25" customHeight="1">
      <c r="C1067" s="198">
        <f>D1067</f>
        <v>1067</v>
      </c>
      <c r="D1067" s="203">
        <f t="shared" si="356"/>
        <v>1067</v>
      </c>
      <c r="E1067" s="204" t="s">
        <v>446</v>
      </c>
      <c r="F1067" s="210">
        <f>D1061</f>
        <v>1061</v>
      </c>
      <c r="G1067" s="206"/>
      <c r="H1067" s="206"/>
      <c r="I1067" s="208"/>
      <c r="J1067" s="208"/>
      <c r="K1067" s="234"/>
      <c r="L1067" s="208"/>
      <c r="M1067" s="217"/>
      <c r="N1067" s="208"/>
      <c r="O1067" s="218"/>
      <c r="P1067" s="208"/>
      <c r="Q1067" s="240"/>
      <c r="R1067" s="239"/>
      <c r="S1067" s="240"/>
      <c r="T1067" s="216"/>
      <c r="U1067" s="196"/>
    </row>
    <row r="1068" spans="3:21" s="185" customFormat="1" ht="20.25" customHeight="1">
      <c r="C1068" s="198"/>
      <c r="D1068" s="203">
        <f t="shared" si="356"/>
        <v>1068</v>
      </c>
      <c r="E1068" s="207" t="s">
        <v>447</v>
      </c>
      <c r="F1068" s="211"/>
      <c r="G1068" s="206" t="s">
        <v>52</v>
      </c>
      <c r="H1068" s="206"/>
      <c r="I1068" s="224">
        <f>I1062</f>
        <v>18</v>
      </c>
      <c r="J1068" s="208" t="str">
        <f>J1066</f>
        <v>1560 mm id</v>
      </c>
      <c r="K1068" s="234">
        <v>1</v>
      </c>
      <c r="L1068" s="208" t="s">
        <v>81</v>
      </c>
      <c r="M1068" s="227">
        <f t="shared" ref="M1068:M1071" si="381">LEFT(J1068,SEARCH(" ",J1068,1)-1)*K1068*3.142*0.001</f>
        <v>4.9015199999999997</v>
      </c>
      <c r="N1068" s="208" t="s">
        <v>139</v>
      </c>
      <c r="O1068" s="246">
        <f>VLOOKUP(I1068,BM!$A$2:$X$104,14,FALSE)</f>
        <v>0.5</v>
      </c>
      <c r="P1068" s="208" t="s">
        <v>112</v>
      </c>
      <c r="Q1068" s="240">
        <f t="shared" ref="Q1068:Q1071" si="382">M1068*O1068</f>
        <v>2.4507599999999998</v>
      </c>
      <c r="R1068" s="239">
        <v>1</v>
      </c>
      <c r="S1068" s="240">
        <f t="shared" si="373"/>
        <v>3.45</v>
      </c>
      <c r="T1068" s="216" t="s">
        <v>48</v>
      </c>
      <c r="U1068" s="196" t="str">
        <f t="shared" si="374"/>
        <v>3.45 Hrs</v>
      </c>
    </row>
    <row r="1069" spans="3:21" s="185" customFormat="1" ht="20.25" customHeight="1">
      <c r="C1069" s="198"/>
      <c r="D1069" s="203">
        <f t="shared" si="356"/>
        <v>1069</v>
      </c>
      <c r="E1069" s="207" t="s">
        <v>437</v>
      </c>
      <c r="F1069" s="211">
        <f t="shared" ref="F1069:F1071" si="383">D1068</f>
        <v>1068</v>
      </c>
      <c r="G1069" s="206" t="s">
        <v>44</v>
      </c>
      <c r="H1069" s="206"/>
      <c r="I1069" s="224">
        <f>I1063</f>
        <v>12</v>
      </c>
      <c r="J1069" s="208" t="str">
        <f>J1068</f>
        <v>1560 mm id</v>
      </c>
      <c r="K1069" s="234">
        <v>1</v>
      </c>
      <c r="L1069" s="208" t="s">
        <v>81</v>
      </c>
      <c r="M1069" s="227">
        <f t="shared" si="381"/>
        <v>4.9015199999999997</v>
      </c>
      <c r="N1069" s="208" t="s">
        <v>139</v>
      </c>
      <c r="O1069" s="246">
        <f>VLOOKUP(I1069,BM!$A$2:$X$104,15,FALSE)</f>
        <v>1</v>
      </c>
      <c r="P1069" s="208" t="s">
        <v>112</v>
      </c>
      <c r="Q1069" s="240">
        <f t="shared" si="382"/>
        <v>4.9015199999999997</v>
      </c>
      <c r="R1069" s="239">
        <v>1</v>
      </c>
      <c r="S1069" s="240">
        <f t="shared" si="373"/>
        <v>5.9</v>
      </c>
      <c r="T1069" s="216" t="s">
        <v>48</v>
      </c>
      <c r="U1069" s="196" t="str">
        <f t="shared" si="374"/>
        <v>5.9 Hrs</v>
      </c>
    </row>
    <row r="1070" spans="3:21" s="185" customFormat="1" ht="20.25" customHeight="1">
      <c r="C1070" s="198"/>
      <c r="D1070" s="203">
        <f t="shared" si="356"/>
        <v>1070</v>
      </c>
      <c r="E1070" s="207" t="s">
        <v>448</v>
      </c>
      <c r="F1070" s="211">
        <f t="shared" si="383"/>
        <v>1069</v>
      </c>
      <c r="G1070" s="206" t="s">
        <v>111</v>
      </c>
      <c r="H1070" s="206"/>
      <c r="I1070" s="224">
        <f>I1065</f>
        <v>8</v>
      </c>
      <c r="J1070" s="208" t="str">
        <f>J1069</f>
        <v>1560 mm id</v>
      </c>
      <c r="K1070" s="234">
        <v>1</v>
      </c>
      <c r="L1070" s="208" t="s">
        <v>81</v>
      </c>
      <c r="M1070" s="227">
        <f t="shared" si="381"/>
        <v>4.9015199999999997</v>
      </c>
      <c r="N1070" s="208" t="s">
        <v>139</v>
      </c>
      <c r="O1070" s="218">
        <v>4</v>
      </c>
      <c r="P1070" s="208" t="s">
        <v>112</v>
      </c>
      <c r="Q1070" s="240">
        <f t="shared" si="382"/>
        <v>19.606079999999999</v>
      </c>
      <c r="R1070" s="239">
        <v>1</v>
      </c>
      <c r="S1070" s="240">
        <f t="shared" si="373"/>
        <v>20.61</v>
      </c>
      <c r="T1070" s="216" t="s">
        <v>48</v>
      </c>
      <c r="U1070" s="196" t="str">
        <f t="shared" si="374"/>
        <v>20.61 Hrs</v>
      </c>
    </row>
    <row r="1071" spans="3:21" s="185" customFormat="1" ht="20.25" customHeight="1">
      <c r="C1071" s="198"/>
      <c r="D1071" s="203">
        <f t="shared" si="356"/>
        <v>1071</v>
      </c>
      <c r="E1071" s="207" t="s">
        <v>439</v>
      </c>
      <c r="F1071" s="211">
        <f t="shared" si="383"/>
        <v>1070</v>
      </c>
      <c r="G1071" s="206" t="s">
        <v>63</v>
      </c>
      <c r="H1071" s="206"/>
      <c r="I1071" s="224">
        <v>18</v>
      </c>
      <c r="J1071" s="208" t="str">
        <f>J1070</f>
        <v>1560 mm id</v>
      </c>
      <c r="K1071" s="234">
        <v>1</v>
      </c>
      <c r="L1071" s="208" t="s">
        <v>81</v>
      </c>
      <c r="M1071" s="227">
        <f t="shared" si="381"/>
        <v>4.9015199999999997</v>
      </c>
      <c r="N1071" s="208" t="s">
        <v>139</v>
      </c>
      <c r="O1071" s="218">
        <v>0.5</v>
      </c>
      <c r="P1071" s="208" t="s">
        <v>112</v>
      </c>
      <c r="Q1071" s="240">
        <f t="shared" si="382"/>
        <v>2.4507599999999998</v>
      </c>
      <c r="R1071" s="239">
        <v>1</v>
      </c>
      <c r="S1071" s="240">
        <f t="shared" si="373"/>
        <v>3.45</v>
      </c>
      <c r="T1071" s="216" t="s">
        <v>48</v>
      </c>
      <c r="U1071" s="196" t="str">
        <f t="shared" si="374"/>
        <v>3.45 Hrs</v>
      </c>
    </row>
    <row r="1072" spans="3:21" s="185" customFormat="1" ht="20.25" customHeight="1">
      <c r="C1072" s="198">
        <f>D1072</f>
        <v>1072</v>
      </c>
      <c r="D1072" s="203">
        <f t="shared" si="356"/>
        <v>1072</v>
      </c>
      <c r="E1072" s="204" t="s">
        <v>449</v>
      </c>
      <c r="F1072" s="210">
        <f>D1067</f>
        <v>1067</v>
      </c>
      <c r="G1072" s="208"/>
      <c r="H1072" s="208"/>
      <c r="I1072" s="208"/>
      <c r="J1072" s="208"/>
      <c r="K1072" s="234"/>
      <c r="L1072" s="208"/>
      <c r="M1072" s="217"/>
      <c r="N1072" s="208"/>
      <c r="O1072" s="218"/>
      <c r="P1072" s="208"/>
      <c r="Q1072" s="240"/>
      <c r="R1072" s="239"/>
      <c r="S1072" s="240"/>
      <c r="T1072" s="216"/>
      <c r="U1072" s="196"/>
    </row>
    <row r="1073" spans="3:21" s="185" customFormat="1" ht="20.25" customHeight="1">
      <c r="C1073" s="198"/>
      <c r="D1073" s="203">
        <f t="shared" si="356"/>
        <v>1073</v>
      </c>
      <c r="E1073" s="207" t="s">
        <v>450</v>
      </c>
      <c r="F1073" s="211"/>
      <c r="G1073" s="206" t="s">
        <v>201</v>
      </c>
      <c r="H1073" s="206"/>
      <c r="I1073" s="224">
        <v>12</v>
      </c>
      <c r="J1073" s="208" t="str">
        <f>J1071</f>
        <v>1560 mm id</v>
      </c>
      <c r="K1073" s="234">
        <v>1</v>
      </c>
      <c r="L1073" s="208" t="s">
        <v>81</v>
      </c>
      <c r="M1073" s="217">
        <v>1</v>
      </c>
      <c r="N1073" s="208" t="s">
        <v>249</v>
      </c>
      <c r="O1073" s="218">
        <v>1</v>
      </c>
      <c r="P1073" s="208" t="s">
        <v>112</v>
      </c>
      <c r="Q1073" s="240">
        <f t="shared" ref="Q1073:Q1077" si="384">M1073*O1073</f>
        <v>1</v>
      </c>
      <c r="R1073" s="239">
        <v>1</v>
      </c>
      <c r="S1073" s="240">
        <f t="shared" si="373"/>
        <v>2</v>
      </c>
      <c r="T1073" s="216" t="s">
        <v>48</v>
      </c>
      <c r="U1073" s="196" t="str">
        <f t="shared" si="374"/>
        <v>2 Hrs</v>
      </c>
    </row>
    <row r="1074" spans="3:21" s="185" customFormat="1" ht="20.25" customHeight="1">
      <c r="C1074" s="198"/>
      <c r="D1074" s="203">
        <f t="shared" si="356"/>
        <v>1074</v>
      </c>
      <c r="E1074" s="207" t="s">
        <v>451</v>
      </c>
      <c r="F1074" s="211">
        <f t="shared" ref="F1074:F1077" si="385">D1073</f>
        <v>1073</v>
      </c>
      <c r="G1074" s="206" t="s">
        <v>115</v>
      </c>
      <c r="H1074" s="206"/>
      <c r="I1074" s="224">
        <v>12</v>
      </c>
      <c r="J1074" s="208" t="str">
        <f>J1073</f>
        <v>1560 mm id</v>
      </c>
      <c r="K1074" s="234">
        <v>1</v>
      </c>
      <c r="L1074" s="208" t="s">
        <v>81</v>
      </c>
      <c r="M1074" s="227">
        <f t="shared" ref="M1074:M1077" si="386">LEFT(J1074,SEARCH(" ",J1074,1)-1)*K1074*3.142*0.001</f>
        <v>4.9015199999999997</v>
      </c>
      <c r="N1074" s="208" t="s">
        <v>249</v>
      </c>
      <c r="O1074" s="246">
        <f>VLOOKUP(I1074,BM!$A$2:$X$104,17,FALSE)</f>
        <v>2.5</v>
      </c>
      <c r="P1074" s="208" t="s">
        <v>112</v>
      </c>
      <c r="Q1074" s="240">
        <f t="shared" si="384"/>
        <v>12.253799999999998</v>
      </c>
      <c r="R1074" s="239">
        <v>1</v>
      </c>
      <c r="S1074" s="240">
        <f t="shared" si="373"/>
        <v>13.25</v>
      </c>
      <c r="T1074" s="216" t="s">
        <v>48</v>
      </c>
      <c r="U1074" s="196" t="str">
        <f t="shared" si="374"/>
        <v>13.25 Hrs</v>
      </c>
    </row>
    <row r="1075" spans="3:21" s="185" customFormat="1" ht="20.25" customHeight="1">
      <c r="C1075" s="198"/>
      <c r="D1075" s="203">
        <f t="shared" si="356"/>
        <v>1075</v>
      </c>
      <c r="E1075" s="207" t="s">
        <v>452</v>
      </c>
      <c r="F1075" s="211">
        <f t="shared" si="385"/>
        <v>1074</v>
      </c>
      <c r="G1075" s="206" t="s">
        <v>61</v>
      </c>
      <c r="H1075" s="206"/>
      <c r="I1075" s="224">
        <v>18</v>
      </c>
      <c r="J1075" s="208" t="str">
        <f>J1074</f>
        <v>1560 mm id</v>
      </c>
      <c r="K1075" s="234">
        <v>1</v>
      </c>
      <c r="L1075" s="208" t="s">
        <v>81</v>
      </c>
      <c r="M1075" s="227">
        <f t="shared" si="386"/>
        <v>4.9015199999999997</v>
      </c>
      <c r="N1075" s="208" t="s">
        <v>249</v>
      </c>
      <c r="O1075" s="246">
        <f>VLOOKUP(I1075,BM!$A$2:$X$104,18,FALSE)</f>
        <v>1</v>
      </c>
      <c r="P1075" s="208" t="s">
        <v>112</v>
      </c>
      <c r="Q1075" s="240">
        <f t="shared" si="384"/>
        <v>4.9015199999999997</v>
      </c>
      <c r="R1075" s="239">
        <v>1</v>
      </c>
      <c r="S1075" s="240">
        <f t="shared" si="373"/>
        <v>5.9</v>
      </c>
      <c r="T1075" s="216" t="s">
        <v>48</v>
      </c>
      <c r="U1075" s="196" t="str">
        <f t="shared" si="374"/>
        <v>5.9 Hrs</v>
      </c>
    </row>
    <row r="1076" spans="3:21" s="185" customFormat="1" ht="20.25" customHeight="1">
      <c r="C1076" s="198"/>
      <c r="D1076" s="203">
        <f t="shared" si="356"/>
        <v>1076</v>
      </c>
      <c r="E1076" s="207" t="s">
        <v>453</v>
      </c>
      <c r="F1076" s="211">
        <f t="shared" si="385"/>
        <v>1075</v>
      </c>
      <c r="G1076" s="206" t="s">
        <v>115</v>
      </c>
      <c r="H1076" s="206"/>
      <c r="I1076" s="224">
        <v>6</v>
      </c>
      <c r="J1076" s="208" t="str">
        <f>J1075</f>
        <v>1560 mm id</v>
      </c>
      <c r="K1076" s="234">
        <v>1</v>
      </c>
      <c r="L1076" s="208" t="s">
        <v>81</v>
      </c>
      <c r="M1076" s="227">
        <f t="shared" si="386"/>
        <v>4.9015199999999997</v>
      </c>
      <c r="N1076" s="208" t="s">
        <v>249</v>
      </c>
      <c r="O1076" s="246">
        <f>VLOOKUP(I1076,BM!$A$2:$X$104,17,FALSE)</f>
        <v>0.9</v>
      </c>
      <c r="P1076" s="208" t="s">
        <v>112</v>
      </c>
      <c r="Q1076" s="240">
        <f t="shared" si="384"/>
        <v>4.4113679999999995</v>
      </c>
      <c r="R1076" s="239">
        <v>1</v>
      </c>
      <c r="S1076" s="240">
        <f t="shared" si="373"/>
        <v>5.41</v>
      </c>
      <c r="T1076" s="216" t="s">
        <v>48</v>
      </c>
      <c r="U1076" s="196" t="str">
        <f t="shared" si="374"/>
        <v>5.41 Hrs</v>
      </c>
    </row>
    <row r="1077" spans="3:21" s="185" customFormat="1" ht="20.25" customHeight="1">
      <c r="C1077" s="198"/>
      <c r="D1077" s="203">
        <f t="shared" si="356"/>
        <v>1077</v>
      </c>
      <c r="E1077" s="207" t="s">
        <v>454</v>
      </c>
      <c r="F1077" s="211">
        <f t="shared" si="385"/>
        <v>1076</v>
      </c>
      <c r="G1077" s="206" t="s">
        <v>61</v>
      </c>
      <c r="H1077" s="206"/>
      <c r="I1077" s="224">
        <v>18</v>
      </c>
      <c r="J1077" s="208" t="str">
        <f>J1076</f>
        <v>1560 mm id</v>
      </c>
      <c r="K1077" s="234">
        <v>1</v>
      </c>
      <c r="L1077" s="208" t="s">
        <v>81</v>
      </c>
      <c r="M1077" s="227">
        <f t="shared" si="386"/>
        <v>4.9015199999999997</v>
      </c>
      <c r="N1077" s="208" t="s">
        <v>249</v>
      </c>
      <c r="O1077" s="246">
        <f>VLOOKUP(I1077,BM!$A$2:$X$104,20,FALSE)</f>
        <v>0.5</v>
      </c>
      <c r="P1077" s="208" t="s">
        <v>112</v>
      </c>
      <c r="Q1077" s="240">
        <f t="shared" si="384"/>
        <v>2.4507599999999998</v>
      </c>
      <c r="R1077" s="239">
        <v>1</v>
      </c>
      <c r="S1077" s="240">
        <f t="shared" si="373"/>
        <v>3.45</v>
      </c>
      <c r="T1077" s="216" t="s">
        <v>48</v>
      </c>
      <c r="U1077" s="196" t="str">
        <f t="shared" si="374"/>
        <v>3.45 Hrs</v>
      </c>
    </row>
    <row r="1078" spans="3:21" s="185" customFormat="1" ht="20.25" customHeight="1">
      <c r="C1078" s="198">
        <f>D1078</f>
        <v>1078</v>
      </c>
      <c r="D1078" s="203">
        <f t="shared" si="356"/>
        <v>1078</v>
      </c>
      <c r="E1078" s="204" t="s">
        <v>455</v>
      </c>
      <c r="F1078" s="210">
        <f>C1072</f>
        <v>1072</v>
      </c>
      <c r="G1078" s="206"/>
      <c r="H1078" s="206"/>
      <c r="I1078" s="208"/>
      <c r="J1078" s="208"/>
      <c r="K1078" s="234"/>
      <c r="L1078" s="208"/>
      <c r="M1078" s="217"/>
      <c r="N1078" s="208"/>
      <c r="O1078" s="218"/>
      <c r="P1078" s="208"/>
      <c r="Q1078" s="240"/>
      <c r="R1078" s="239"/>
      <c r="S1078" s="240"/>
      <c r="T1078" s="216"/>
      <c r="U1078" s="196"/>
    </row>
    <row r="1079" spans="3:21" s="185" customFormat="1" ht="20.25" customHeight="1">
      <c r="C1079" s="198"/>
      <c r="D1079" s="203">
        <f t="shared" si="356"/>
        <v>1079</v>
      </c>
      <c r="E1079" s="207" t="s">
        <v>456</v>
      </c>
      <c r="F1079" s="211"/>
      <c r="G1079" s="206" t="s">
        <v>312</v>
      </c>
      <c r="H1079" s="206"/>
      <c r="I1079" s="224">
        <v>18</v>
      </c>
      <c r="J1079" s="208" t="str">
        <f>J1077</f>
        <v>1560 mm id</v>
      </c>
      <c r="K1079" s="234">
        <v>1</v>
      </c>
      <c r="L1079" s="208" t="s">
        <v>39</v>
      </c>
      <c r="M1079" s="217">
        <v>1</v>
      </c>
      <c r="N1079" s="208" t="s">
        <v>457</v>
      </c>
      <c r="O1079" s="218">
        <v>1</v>
      </c>
      <c r="P1079" s="208" t="s">
        <v>41</v>
      </c>
      <c r="Q1079" s="240">
        <f t="shared" ref="Q1079" si="387">M1079*O1079</f>
        <v>1</v>
      </c>
      <c r="R1079" s="239"/>
      <c r="S1079" s="240">
        <f t="shared" si="373"/>
        <v>1</v>
      </c>
      <c r="T1079" s="216" t="s">
        <v>42</v>
      </c>
      <c r="U1079" s="196" t="str">
        <f t="shared" si="374"/>
        <v>1 Days</v>
      </c>
    </row>
    <row r="1080" spans="3:21" s="185" customFormat="1" ht="20.25" customHeight="1">
      <c r="C1080" s="198">
        <f>D1080</f>
        <v>1080</v>
      </c>
      <c r="D1080" s="203">
        <f t="shared" si="356"/>
        <v>1080</v>
      </c>
      <c r="E1080" s="204" t="s">
        <v>458</v>
      </c>
      <c r="F1080" s="210">
        <f>C1078</f>
        <v>1078</v>
      </c>
      <c r="G1080" s="206"/>
      <c r="H1080" s="206"/>
      <c r="I1080" s="208"/>
      <c r="J1080" s="208"/>
      <c r="K1080" s="234"/>
      <c r="L1080" s="208"/>
      <c r="M1080" s="217"/>
      <c r="N1080" s="208"/>
      <c r="O1080" s="218"/>
      <c r="P1080" s="208"/>
      <c r="Q1080" s="240"/>
      <c r="R1080" s="239"/>
      <c r="S1080" s="240"/>
      <c r="T1080" s="216"/>
      <c r="U1080" s="196"/>
    </row>
    <row r="1081" spans="3:21" s="185" customFormat="1" ht="20.25" customHeight="1">
      <c r="C1081" s="198"/>
      <c r="D1081" s="203">
        <f t="shared" si="356"/>
        <v>1081</v>
      </c>
      <c r="E1081" s="207" t="s">
        <v>459</v>
      </c>
      <c r="F1081" s="211"/>
      <c r="G1081" s="206" t="s">
        <v>44</v>
      </c>
      <c r="H1081" s="206"/>
      <c r="I1081" s="224">
        <v>18</v>
      </c>
      <c r="J1081" s="208" t="str">
        <f>J1079</f>
        <v>1560 mm id</v>
      </c>
      <c r="K1081" s="234">
        <v>1</v>
      </c>
      <c r="L1081" s="208" t="s">
        <v>81</v>
      </c>
      <c r="M1081" s="217">
        <v>1</v>
      </c>
      <c r="N1081" s="208" t="s">
        <v>81</v>
      </c>
      <c r="O1081" s="218">
        <v>4</v>
      </c>
      <c r="P1081" s="208" t="s">
        <v>112</v>
      </c>
      <c r="Q1081" s="240">
        <f t="shared" ref="Q1081:Q1082" si="388">M1081*O1081</f>
        <v>4</v>
      </c>
      <c r="R1081" s="239">
        <v>1</v>
      </c>
      <c r="S1081" s="240">
        <f t="shared" si="373"/>
        <v>5</v>
      </c>
      <c r="T1081" s="216" t="s">
        <v>48</v>
      </c>
      <c r="U1081" s="196" t="str">
        <f t="shared" si="374"/>
        <v>5 Hrs</v>
      </c>
    </row>
    <row r="1082" spans="3:21" s="185" customFormat="1" ht="20.25" customHeight="1">
      <c r="C1082" s="198"/>
      <c r="D1082" s="203">
        <f t="shared" si="356"/>
        <v>1082</v>
      </c>
      <c r="E1082" s="207" t="s">
        <v>460</v>
      </c>
      <c r="F1082" s="211">
        <f t="shared" ref="F1082" si="389">D1081</f>
        <v>1081</v>
      </c>
      <c r="G1082" s="206" t="s">
        <v>44</v>
      </c>
      <c r="H1082" s="206"/>
      <c r="I1082" s="224">
        <v>18</v>
      </c>
      <c r="J1082" s="208" t="str">
        <f>J1081</f>
        <v>1560 mm id</v>
      </c>
      <c r="K1082" s="234">
        <v>1</v>
      </c>
      <c r="L1082" s="208" t="s">
        <v>81</v>
      </c>
      <c r="M1082" s="217">
        <v>1</v>
      </c>
      <c r="N1082" s="208" t="s">
        <v>81</v>
      </c>
      <c r="O1082" s="218">
        <v>4</v>
      </c>
      <c r="P1082" s="208" t="s">
        <v>112</v>
      </c>
      <c r="Q1082" s="240">
        <f t="shared" si="388"/>
        <v>4</v>
      </c>
      <c r="R1082" s="239">
        <v>1</v>
      </c>
      <c r="S1082" s="240">
        <f t="shared" si="373"/>
        <v>5</v>
      </c>
      <c r="T1082" s="216" t="s">
        <v>48</v>
      </c>
      <c r="U1082" s="196" t="str">
        <f t="shared" si="374"/>
        <v>5 Hrs</v>
      </c>
    </row>
    <row r="1083" spans="3:21" s="185" customFormat="1" ht="20.25" customHeight="1">
      <c r="C1083" s="198">
        <f>D1083</f>
        <v>1083</v>
      </c>
      <c r="D1083" s="203">
        <f t="shared" si="356"/>
        <v>1083</v>
      </c>
      <c r="E1083" s="204" t="s">
        <v>461</v>
      </c>
      <c r="F1083" s="210">
        <f>C1080</f>
        <v>1080</v>
      </c>
      <c r="G1083" s="206"/>
      <c r="H1083" s="206"/>
      <c r="I1083" s="208"/>
      <c r="J1083" s="208"/>
      <c r="K1083" s="234"/>
      <c r="L1083" s="208"/>
      <c r="M1083" s="217"/>
      <c r="N1083" s="208"/>
      <c r="O1083" s="218"/>
      <c r="P1083" s="208"/>
      <c r="Q1083" s="240"/>
      <c r="R1083" s="239"/>
      <c r="S1083" s="240"/>
      <c r="T1083" s="216"/>
      <c r="U1083" s="196"/>
    </row>
    <row r="1084" spans="3:21" s="185" customFormat="1" ht="20.25" customHeight="1">
      <c r="C1084" s="198"/>
      <c r="D1084" s="203">
        <f t="shared" si="356"/>
        <v>1084</v>
      </c>
      <c r="E1084" s="207" t="s">
        <v>462</v>
      </c>
      <c r="F1084" s="211"/>
      <c r="G1084" s="206" t="s">
        <v>52</v>
      </c>
      <c r="H1084" s="206"/>
      <c r="I1084" s="208"/>
      <c r="J1084" s="234" t="s">
        <v>463</v>
      </c>
      <c r="K1084" s="234">
        <v>1</v>
      </c>
      <c r="L1084" s="208" t="s">
        <v>39</v>
      </c>
      <c r="M1084" s="217">
        <v>1</v>
      </c>
      <c r="N1084" s="208"/>
      <c r="O1084" s="246">
        <f>VLOOKUP(J1084,BM!$A$2:$X$104,2,FALSE)</f>
        <v>2</v>
      </c>
      <c r="P1084" s="208" t="s">
        <v>112</v>
      </c>
      <c r="Q1084" s="240">
        <f t="shared" ref="Q1084:Q1085" si="390">M1084*O1084</f>
        <v>2</v>
      </c>
      <c r="R1084" s="239">
        <v>1</v>
      </c>
      <c r="S1084" s="240">
        <f t="shared" si="373"/>
        <v>3</v>
      </c>
      <c r="T1084" s="216" t="s">
        <v>48</v>
      </c>
      <c r="U1084" s="196" t="str">
        <f t="shared" si="374"/>
        <v>3 Hrs</v>
      </c>
    </row>
    <row r="1085" spans="3:21" s="185" customFormat="1" ht="20.25" customHeight="1">
      <c r="C1085" s="198"/>
      <c r="D1085" s="203">
        <f t="shared" si="356"/>
        <v>1085</v>
      </c>
      <c r="E1085" s="207" t="s">
        <v>464</v>
      </c>
      <c r="F1085" s="211">
        <f t="shared" ref="F1085" si="391">D1084</f>
        <v>1084</v>
      </c>
      <c r="G1085" s="206" t="s">
        <v>52</v>
      </c>
      <c r="H1085" s="206"/>
      <c r="I1085" s="208"/>
      <c r="J1085" s="234" t="s">
        <v>463</v>
      </c>
      <c r="K1085" s="234">
        <v>1</v>
      </c>
      <c r="L1085" s="208" t="s">
        <v>39</v>
      </c>
      <c r="M1085" s="217">
        <v>1</v>
      </c>
      <c r="N1085" s="208"/>
      <c r="O1085" s="246">
        <f>VLOOKUP(J1085,BM!$A$2:$X$104,2,FALSE)</f>
        <v>2</v>
      </c>
      <c r="P1085" s="208" t="s">
        <v>112</v>
      </c>
      <c r="Q1085" s="240">
        <f t="shared" si="390"/>
        <v>2</v>
      </c>
      <c r="R1085" s="239">
        <v>1</v>
      </c>
      <c r="S1085" s="240">
        <f t="shared" si="373"/>
        <v>3</v>
      </c>
      <c r="T1085" s="216" t="s">
        <v>48</v>
      </c>
      <c r="U1085" s="196" t="str">
        <f t="shared" si="374"/>
        <v>3 Hrs</v>
      </c>
    </row>
    <row r="1086" spans="3:21" s="185" customFormat="1" ht="20.25" customHeight="1">
      <c r="C1086" s="198">
        <f>D1086</f>
        <v>1086</v>
      </c>
      <c r="D1086" s="203">
        <f t="shared" si="356"/>
        <v>1086</v>
      </c>
      <c r="E1086" s="204" t="s">
        <v>465</v>
      </c>
      <c r="F1086" s="210">
        <f>C1083</f>
        <v>1083</v>
      </c>
      <c r="G1086" s="206"/>
      <c r="H1086" s="206"/>
      <c r="I1086" s="208"/>
      <c r="J1086" s="208"/>
      <c r="K1086" s="234"/>
      <c r="L1086" s="208"/>
      <c r="M1086" s="217"/>
      <c r="N1086" s="208"/>
      <c r="O1086" s="218"/>
      <c r="P1086" s="208"/>
      <c r="Q1086" s="240"/>
      <c r="R1086" s="239"/>
      <c r="S1086" s="240"/>
      <c r="T1086" s="216"/>
      <c r="U1086" s="196"/>
    </row>
    <row r="1087" spans="3:21" s="185" customFormat="1" ht="20.25" customHeight="1">
      <c r="C1087" s="198"/>
      <c r="D1087" s="203">
        <f t="shared" si="356"/>
        <v>1087</v>
      </c>
      <c r="E1087" s="207" t="s">
        <v>466</v>
      </c>
      <c r="F1087" s="211"/>
      <c r="G1087" s="206" t="s">
        <v>121</v>
      </c>
      <c r="H1087" s="206"/>
      <c r="I1087" s="208"/>
      <c r="J1087" s="208" t="str">
        <f>J1085</f>
        <v>400nb</v>
      </c>
      <c r="K1087" s="234">
        <v>1</v>
      </c>
      <c r="L1087" s="208" t="s">
        <v>39</v>
      </c>
      <c r="M1087" s="217">
        <v>1</v>
      </c>
      <c r="N1087" s="208"/>
      <c r="O1087" s="246">
        <f>VLOOKUP(J1087,BM!$A$2:$X$104,4,FALSE)</f>
        <v>2.5538175999999999</v>
      </c>
      <c r="P1087" s="208" t="s">
        <v>112</v>
      </c>
      <c r="Q1087" s="240">
        <f t="shared" ref="Q1087:Q1088" si="392">M1087*O1087</f>
        <v>2.5538175999999999</v>
      </c>
      <c r="R1087" s="239">
        <v>1</v>
      </c>
      <c r="S1087" s="240">
        <f t="shared" si="373"/>
        <v>3.55</v>
      </c>
      <c r="T1087" s="216" t="s">
        <v>48</v>
      </c>
      <c r="U1087" s="196" t="str">
        <f t="shared" si="374"/>
        <v>3.55 Hrs</v>
      </c>
    </row>
    <row r="1088" spans="3:21" s="185" customFormat="1" ht="20.25" customHeight="1">
      <c r="C1088" s="198"/>
      <c r="D1088" s="203">
        <f t="shared" si="356"/>
        <v>1088</v>
      </c>
      <c r="E1088" s="207" t="s">
        <v>467</v>
      </c>
      <c r="F1088" s="211">
        <f t="shared" ref="F1088" si="393">D1087</f>
        <v>1087</v>
      </c>
      <c r="G1088" s="206" t="s">
        <v>121</v>
      </c>
      <c r="H1088" s="206"/>
      <c r="I1088" s="208"/>
      <c r="J1088" s="208" t="str">
        <f>J1085</f>
        <v>400nb</v>
      </c>
      <c r="K1088" s="234">
        <v>1</v>
      </c>
      <c r="L1088" s="208" t="s">
        <v>39</v>
      </c>
      <c r="M1088" s="217">
        <v>1</v>
      </c>
      <c r="N1088" s="208"/>
      <c r="O1088" s="246">
        <f>VLOOKUP(J1088,BM!$A$2:$X$104,4,FALSE)</f>
        <v>2.5538175999999999</v>
      </c>
      <c r="P1088" s="208" t="s">
        <v>112</v>
      </c>
      <c r="Q1088" s="240">
        <f t="shared" si="392"/>
        <v>2.5538175999999999</v>
      </c>
      <c r="R1088" s="239">
        <v>1</v>
      </c>
      <c r="S1088" s="240">
        <f t="shared" si="373"/>
        <v>3.55</v>
      </c>
      <c r="T1088" s="216" t="s">
        <v>48</v>
      </c>
      <c r="U1088" s="196" t="str">
        <f t="shared" si="374"/>
        <v>3.55 Hrs</v>
      </c>
    </row>
    <row r="1089" spans="3:21" s="185" customFormat="1" ht="20.25" customHeight="1">
      <c r="C1089" s="198">
        <f>D1089</f>
        <v>1089</v>
      </c>
      <c r="D1089" s="203">
        <f t="shared" si="356"/>
        <v>1089</v>
      </c>
      <c r="E1089" s="204" t="s">
        <v>468</v>
      </c>
      <c r="F1089" s="210">
        <f>C1086</f>
        <v>1086</v>
      </c>
      <c r="G1089" s="206"/>
      <c r="H1089" s="206"/>
      <c r="I1089" s="208"/>
      <c r="J1089" s="208"/>
      <c r="K1089" s="234"/>
      <c r="L1089" s="208"/>
      <c r="M1089" s="217"/>
      <c r="N1089" s="208"/>
      <c r="O1089" s="218"/>
      <c r="P1089" s="208"/>
      <c r="Q1089" s="240"/>
      <c r="R1089" s="239"/>
      <c r="S1089" s="240"/>
      <c r="T1089" s="216"/>
      <c r="U1089" s="196"/>
    </row>
    <row r="1090" spans="3:21" s="185" customFormat="1" ht="20.25" customHeight="1">
      <c r="C1090" s="198"/>
      <c r="D1090" s="203">
        <f t="shared" si="356"/>
        <v>1090</v>
      </c>
      <c r="E1090" s="207" t="s">
        <v>469</v>
      </c>
      <c r="F1090" s="211"/>
      <c r="G1090" s="206" t="s">
        <v>111</v>
      </c>
      <c r="H1090" s="206"/>
      <c r="I1090" s="208"/>
      <c r="J1090" s="208" t="s">
        <v>463</v>
      </c>
      <c r="K1090" s="234">
        <v>1</v>
      </c>
      <c r="L1090" s="208" t="s">
        <v>39</v>
      </c>
      <c r="M1090" s="217">
        <v>1</v>
      </c>
      <c r="N1090" s="208" t="s">
        <v>39</v>
      </c>
      <c r="O1090" s="246">
        <f>VLOOKUP(J1090,BM!$A$2:$X$104,5,FALSE)</f>
        <v>2</v>
      </c>
      <c r="P1090" s="208" t="s">
        <v>112</v>
      </c>
      <c r="Q1090" s="240">
        <f t="shared" ref="Q1090:Q1101" si="394">M1090*O1090</f>
        <v>2</v>
      </c>
      <c r="R1090" s="239">
        <v>1</v>
      </c>
      <c r="S1090" s="240">
        <f t="shared" si="373"/>
        <v>3</v>
      </c>
      <c r="T1090" s="216" t="s">
        <v>48</v>
      </c>
      <c r="U1090" s="196" t="str">
        <f t="shared" si="374"/>
        <v>3 Hrs</v>
      </c>
    </row>
    <row r="1091" spans="3:21" s="185" customFormat="1" ht="20.25" customHeight="1">
      <c r="C1091" s="198"/>
      <c r="D1091" s="203">
        <f t="shared" si="356"/>
        <v>1091</v>
      </c>
      <c r="E1091" s="207" t="s">
        <v>470</v>
      </c>
      <c r="F1091" s="211">
        <f t="shared" ref="F1091" si="395">D1090</f>
        <v>1090</v>
      </c>
      <c r="G1091" s="206" t="s">
        <v>111</v>
      </c>
      <c r="H1091" s="206"/>
      <c r="I1091" s="208"/>
      <c r="J1091" s="208" t="s">
        <v>463</v>
      </c>
      <c r="K1091" s="234">
        <v>1</v>
      </c>
      <c r="L1091" s="208" t="s">
        <v>39</v>
      </c>
      <c r="M1091" s="217">
        <v>1</v>
      </c>
      <c r="N1091" s="208" t="s">
        <v>39</v>
      </c>
      <c r="O1091" s="246">
        <f>VLOOKUP(J1091,BM!$A$2:$X$104,5,FALSE)</f>
        <v>2</v>
      </c>
      <c r="P1091" s="208" t="s">
        <v>112</v>
      </c>
      <c r="Q1091" s="240">
        <f t="shared" si="394"/>
        <v>2</v>
      </c>
      <c r="R1091" s="239">
        <v>1</v>
      </c>
      <c r="S1091" s="240">
        <f t="shared" si="373"/>
        <v>3</v>
      </c>
      <c r="T1091" s="216" t="s">
        <v>48</v>
      </c>
      <c r="U1091" s="196" t="str">
        <f t="shared" si="374"/>
        <v>3 Hrs</v>
      </c>
    </row>
    <row r="1092" spans="3:21" s="185" customFormat="1" ht="20.25" customHeight="1">
      <c r="C1092" s="198">
        <f>D1092</f>
        <v>1092</v>
      </c>
      <c r="D1092" s="203">
        <f t="shared" ref="D1092:D1155" si="396">D1091+1</f>
        <v>1092</v>
      </c>
      <c r="E1092" s="204" t="s">
        <v>691</v>
      </c>
      <c r="F1092" s="210">
        <f>C1089</f>
        <v>1089</v>
      </c>
      <c r="G1092" s="206"/>
      <c r="H1092" s="206"/>
      <c r="I1092" s="208"/>
      <c r="J1092" s="208"/>
      <c r="K1092" s="234"/>
      <c r="L1092" s="208"/>
      <c r="M1092" s="217"/>
      <c r="N1092" s="208"/>
      <c r="O1092" s="218"/>
      <c r="P1092" s="208"/>
      <c r="Q1092" s="240">
        <f t="shared" si="394"/>
        <v>0</v>
      </c>
      <c r="R1092" s="239"/>
      <c r="S1092" s="240"/>
      <c r="T1092" s="216" t="s">
        <v>48</v>
      </c>
      <c r="U1092" s="196"/>
    </row>
    <row r="1093" spans="3:21" s="185" customFormat="1" ht="20.25" customHeight="1">
      <c r="C1093" s="198"/>
      <c r="D1093" s="203">
        <f t="shared" si="396"/>
        <v>1093</v>
      </c>
      <c r="E1093" s="207" t="s">
        <v>692</v>
      </c>
      <c r="F1093" s="211"/>
      <c r="G1093" s="206" t="s">
        <v>299</v>
      </c>
      <c r="H1093" s="206"/>
      <c r="I1093" s="208"/>
      <c r="J1093" s="208"/>
      <c r="K1093" s="234">
        <v>1</v>
      </c>
      <c r="L1093" s="208" t="s">
        <v>39</v>
      </c>
      <c r="M1093" s="217">
        <v>1</v>
      </c>
      <c r="N1093" s="208" t="s">
        <v>249</v>
      </c>
      <c r="O1093" s="218">
        <v>16</v>
      </c>
      <c r="P1093" s="208" t="s">
        <v>112</v>
      </c>
      <c r="Q1093" s="240">
        <f t="shared" si="394"/>
        <v>16</v>
      </c>
      <c r="R1093" s="239">
        <v>1</v>
      </c>
      <c r="S1093" s="240">
        <f t="shared" si="373"/>
        <v>17</v>
      </c>
      <c r="T1093" s="216" t="s">
        <v>48</v>
      </c>
      <c r="U1093" s="196" t="str">
        <f t="shared" si="374"/>
        <v>17 Hrs</v>
      </c>
    </row>
    <row r="1094" spans="3:21" s="185" customFormat="1" ht="20.25" customHeight="1">
      <c r="C1094" s="198"/>
      <c r="D1094" s="203">
        <f t="shared" si="396"/>
        <v>1094</v>
      </c>
      <c r="E1094" s="207" t="s">
        <v>693</v>
      </c>
      <c r="F1094" s="211"/>
      <c r="G1094" s="206" t="s">
        <v>299</v>
      </c>
      <c r="H1094" s="206"/>
      <c r="I1094" s="224" t="s">
        <v>376</v>
      </c>
      <c r="J1094" s="234" t="s">
        <v>376</v>
      </c>
      <c r="K1094" s="234">
        <v>1</v>
      </c>
      <c r="L1094" s="208" t="s">
        <v>39</v>
      </c>
      <c r="M1094" s="217">
        <v>1</v>
      </c>
      <c r="N1094" s="208" t="s">
        <v>249</v>
      </c>
      <c r="O1094" s="246">
        <f>VLOOKUP(I1094,BM!$A$2:$X$104,11,FALSE)</f>
        <v>4</v>
      </c>
      <c r="P1094" s="208" t="s">
        <v>112</v>
      </c>
      <c r="Q1094" s="240">
        <f t="shared" si="394"/>
        <v>4</v>
      </c>
      <c r="R1094" s="239">
        <v>1</v>
      </c>
      <c r="S1094" s="240">
        <f t="shared" si="373"/>
        <v>5</v>
      </c>
      <c r="T1094" s="216" t="s">
        <v>48</v>
      </c>
      <c r="U1094" s="196" t="str">
        <f t="shared" si="374"/>
        <v>5 Hrs</v>
      </c>
    </row>
    <row r="1095" spans="3:21" s="185" customFormat="1" ht="20.25" customHeight="1">
      <c r="C1095" s="198"/>
      <c r="D1095" s="203">
        <f t="shared" si="396"/>
        <v>1095</v>
      </c>
      <c r="E1095" s="207" t="s">
        <v>694</v>
      </c>
      <c r="F1095" s="211"/>
      <c r="G1095" s="206" t="s">
        <v>299</v>
      </c>
      <c r="H1095" s="206"/>
      <c r="I1095" s="224" t="s">
        <v>463</v>
      </c>
      <c r="J1095" s="234" t="s">
        <v>695</v>
      </c>
      <c r="K1095" s="234">
        <v>1</v>
      </c>
      <c r="L1095" s="208" t="s">
        <v>39</v>
      </c>
      <c r="M1095" s="217">
        <v>1</v>
      </c>
      <c r="N1095" s="208" t="s">
        <v>249</v>
      </c>
      <c r="O1095" s="246">
        <f>VLOOKUP(I1095,BM!$A$2:$X$104,11,FALSE)</f>
        <v>4</v>
      </c>
      <c r="P1095" s="208" t="s">
        <v>112</v>
      </c>
      <c r="Q1095" s="240">
        <f t="shared" si="394"/>
        <v>4</v>
      </c>
      <c r="R1095" s="239">
        <v>1</v>
      </c>
      <c r="S1095" s="240">
        <f t="shared" si="373"/>
        <v>5</v>
      </c>
      <c r="T1095" s="216" t="s">
        <v>48</v>
      </c>
      <c r="U1095" s="196" t="str">
        <f t="shared" si="374"/>
        <v>5 Hrs</v>
      </c>
    </row>
    <row r="1096" spans="3:21" s="185" customFormat="1" ht="20.25" customHeight="1">
      <c r="C1096" s="198"/>
      <c r="D1096" s="203">
        <f t="shared" si="396"/>
        <v>1096</v>
      </c>
      <c r="E1096" s="207" t="s">
        <v>696</v>
      </c>
      <c r="F1096" s="211"/>
      <c r="G1096" s="206" t="s">
        <v>115</v>
      </c>
      <c r="H1096" s="206"/>
      <c r="I1096" s="224">
        <v>18</v>
      </c>
      <c r="J1096" s="234" t="s">
        <v>697</v>
      </c>
      <c r="K1096" s="234">
        <v>1</v>
      </c>
      <c r="L1096" s="208" t="s">
        <v>39</v>
      </c>
      <c r="M1096" s="227">
        <f>LEFT(J1096,SEARCH(" ",J1096,1)-1)*3.142/1000</f>
        <v>3.0540240000000001</v>
      </c>
      <c r="N1096" s="208" t="s">
        <v>249</v>
      </c>
      <c r="O1096" s="246">
        <f>VLOOKUP(I1096,BM!$A$2:$X$104,17,FALSE)</f>
        <v>4.9000000000000004</v>
      </c>
      <c r="P1096" s="208" t="s">
        <v>112</v>
      </c>
      <c r="Q1096" s="240">
        <f t="shared" si="394"/>
        <v>14.964717600000002</v>
      </c>
      <c r="R1096" s="239">
        <v>1</v>
      </c>
      <c r="S1096" s="240">
        <f t="shared" si="373"/>
        <v>15.96</v>
      </c>
      <c r="T1096" s="216" t="s">
        <v>48</v>
      </c>
      <c r="U1096" s="196" t="str">
        <f t="shared" si="374"/>
        <v>15.96 Hrs</v>
      </c>
    </row>
    <row r="1097" spans="3:21" s="185" customFormat="1" ht="20.25" customHeight="1">
      <c r="C1097" s="198"/>
      <c r="D1097" s="203">
        <f t="shared" si="396"/>
        <v>1097</v>
      </c>
      <c r="E1097" s="207" t="s">
        <v>698</v>
      </c>
      <c r="F1097" s="211"/>
      <c r="G1097" s="206" t="s">
        <v>115</v>
      </c>
      <c r="H1097" s="206"/>
      <c r="I1097" s="224">
        <v>18</v>
      </c>
      <c r="J1097" s="234" t="s">
        <v>699</v>
      </c>
      <c r="K1097" s="234">
        <v>1</v>
      </c>
      <c r="L1097" s="208" t="s">
        <v>39</v>
      </c>
      <c r="M1097" s="227">
        <f>LEFT(J1097,SEARCH(" ",J1097,1)-1)*3.142/1000</f>
        <v>1.2787939999999998</v>
      </c>
      <c r="N1097" s="208" t="s">
        <v>249</v>
      </c>
      <c r="O1097" s="246">
        <f>VLOOKUP(I1097,BM!$A$2:$X$104,17,FALSE)</f>
        <v>4.9000000000000004</v>
      </c>
      <c r="P1097" s="208" t="s">
        <v>112</v>
      </c>
      <c r="Q1097" s="240">
        <f t="shared" si="394"/>
        <v>6.2660905999999992</v>
      </c>
      <c r="R1097" s="239">
        <v>1</v>
      </c>
      <c r="S1097" s="240">
        <f t="shared" si="373"/>
        <v>7.27</v>
      </c>
      <c r="T1097" s="216" t="s">
        <v>48</v>
      </c>
      <c r="U1097" s="196" t="str">
        <f t="shared" si="374"/>
        <v>7.27 Hrs</v>
      </c>
    </row>
    <row r="1098" spans="3:21" s="185" customFormat="1" ht="20.25" customHeight="1">
      <c r="C1098" s="198"/>
      <c r="D1098" s="203">
        <f t="shared" si="396"/>
        <v>1098</v>
      </c>
      <c r="E1098" s="207" t="s">
        <v>700</v>
      </c>
      <c r="F1098" s="211"/>
      <c r="G1098" s="206" t="s">
        <v>299</v>
      </c>
      <c r="H1098" s="206"/>
      <c r="I1098" s="208"/>
      <c r="J1098" s="208"/>
      <c r="K1098" s="234">
        <v>1</v>
      </c>
      <c r="L1098" s="208" t="s">
        <v>39</v>
      </c>
      <c r="M1098" s="217">
        <v>1</v>
      </c>
      <c r="N1098" s="208" t="s">
        <v>39</v>
      </c>
      <c r="O1098" s="218">
        <v>12</v>
      </c>
      <c r="P1098" s="208" t="s">
        <v>112</v>
      </c>
      <c r="Q1098" s="240">
        <f t="shared" si="394"/>
        <v>12</v>
      </c>
      <c r="R1098" s="239">
        <v>1</v>
      </c>
      <c r="S1098" s="240">
        <f t="shared" si="373"/>
        <v>13</v>
      </c>
      <c r="T1098" s="216" t="s">
        <v>48</v>
      </c>
      <c r="U1098" s="196" t="str">
        <f t="shared" si="374"/>
        <v>13 Hrs</v>
      </c>
    </row>
    <row r="1099" spans="3:21" s="185" customFormat="1" ht="20.25" customHeight="1">
      <c r="C1099" s="198"/>
      <c r="D1099" s="203">
        <f t="shared" si="396"/>
        <v>1099</v>
      </c>
      <c r="E1099" s="207" t="s">
        <v>701</v>
      </c>
      <c r="F1099" s="211"/>
      <c r="G1099" s="206" t="s">
        <v>121</v>
      </c>
      <c r="H1099" s="206"/>
      <c r="I1099" s="224">
        <v>18</v>
      </c>
      <c r="J1099" s="234" t="s">
        <v>697</v>
      </c>
      <c r="K1099" s="234">
        <v>1</v>
      </c>
      <c r="L1099" s="208" t="s">
        <v>39</v>
      </c>
      <c r="M1099" s="227">
        <f>LEFT(J1099,SEARCH(" ",J1099,1)-1)*3.142/1000</f>
        <v>3.0540240000000001</v>
      </c>
      <c r="N1099" s="208" t="s">
        <v>249</v>
      </c>
      <c r="O1099" s="246">
        <f>VLOOKUP(I1099,BM!$A$2:$X$104,20,FALSE)</f>
        <v>0.5</v>
      </c>
      <c r="P1099" s="208" t="s">
        <v>112</v>
      </c>
      <c r="Q1099" s="240">
        <f t="shared" si="394"/>
        <v>1.527012</v>
      </c>
      <c r="R1099" s="239">
        <v>1</v>
      </c>
      <c r="S1099" s="240">
        <f t="shared" si="373"/>
        <v>2.5299999999999998</v>
      </c>
      <c r="T1099" s="216" t="s">
        <v>48</v>
      </c>
      <c r="U1099" s="196" t="str">
        <f t="shared" si="374"/>
        <v>2.53 Hrs</v>
      </c>
    </row>
    <row r="1100" spans="3:21" s="185" customFormat="1" ht="20.25" customHeight="1">
      <c r="C1100" s="198"/>
      <c r="D1100" s="203">
        <f t="shared" si="396"/>
        <v>1100</v>
      </c>
      <c r="E1100" s="207" t="s">
        <v>702</v>
      </c>
      <c r="F1100" s="211"/>
      <c r="G1100" s="206" t="s">
        <v>121</v>
      </c>
      <c r="H1100" s="206"/>
      <c r="I1100" s="224">
        <v>18</v>
      </c>
      <c r="J1100" s="234" t="s">
        <v>699</v>
      </c>
      <c r="K1100" s="234">
        <v>1</v>
      </c>
      <c r="L1100" s="208" t="s">
        <v>39</v>
      </c>
      <c r="M1100" s="227">
        <f>LEFT(J1100,SEARCH(" ",J1100,1)-1)*3.142/1000</f>
        <v>1.2787939999999998</v>
      </c>
      <c r="N1100" s="208" t="s">
        <v>249</v>
      </c>
      <c r="O1100" s="246">
        <f>VLOOKUP(I1100,BM!$A$2:$X$104,20,FALSE)</f>
        <v>0.5</v>
      </c>
      <c r="P1100" s="208" t="s">
        <v>112</v>
      </c>
      <c r="Q1100" s="240">
        <f t="shared" si="394"/>
        <v>0.63939699999999988</v>
      </c>
      <c r="R1100" s="239">
        <v>1</v>
      </c>
      <c r="S1100" s="240">
        <f t="shared" si="373"/>
        <v>1.64</v>
      </c>
      <c r="T1100" s="216" t="s">
        <v>48</v>
      </c>
      <c r="U1100" s="196" t="str">
        <f t="shared" si="374"/>
        <v>1.64 Hrs</v>
      </c>
    </row>
    <row r="1101" spans="3:21" s="185" customFormat="1" ht="20.25" customHeight="1">
      <c r="C1101" s="198"/>
      <c r="D1101" s="203">
        <f t="shared" si="396"/>
        <v>1101</v>
      </c>
      <c r="E1101" s="207" t="s">
        <v>703</v>
      </c>
      <c r="F1101" s="211"/>
      <c r="G1101" s="206" t="s">
        <v>312</v>
      </c>
      <c r="H1101" s="206"/>
      <c r="I1101" s="233">
        <f>I1099</f>
        <v>18</v>
      </c>
      <c r="J1101" s="225" t="str">
        <f t="shared" ref="J1101:M1101" si="397">J1099</f>
        <v>972 mm dia</v>
      </c>
      <c r="K1101" s="225">
        <f t="shared" si="397"/>
        <v>1</v>
      </c>
      <c r="L1101" s="211" t="str">
        <f t="shared" si="397"/>
        <v>No</v>
      </c>
      <c r="M1101" s="235">
        <f t="shared" si="397"/>
        <v>3.0540240000000001</v>
      </c>
      <c r="N1101" s="208" t="s">
        <v>39</v>
      </c>
      <c r="O1101" s="218">
        <v>1</v>
      </c>
      <c r="P1101" s="208" t="s">
        <v>41</v>
      </c>
      <c r="Q1101" s="240">
        <f t="shared" si="394"/>
        <v>3.0540240000000001</v>
      </c>
      <c r="R1101" s="239"/>
      <c r="S1101" s="240">
        <f t="shared" si="373"/>
        <v>3.05</v>
      </c>
      <c r="T1101" s="216" t="s">
        <v>48</v>
      </c>
      <c r="U1101" s="196" t="str">
        <f t="shared" si="374"/>
        <v>3.05 Hrs</v>
      </c>
    </row>
    <row r="1102" spans="3:21" s="185" customFormat="1" ht="20.25" customHeight="1">
      <c r="C1102" s="198">
        <f>D1102</f>
        <v>1092</v>
      </c>
      <c r="D1102" s="203">
        <f>D1091+1</f>
        <v>1092</v>
      </c>
      <c r="E1102" s="204" t="s">
        <v>471</v>
      </c>
      <c r="F1102" s="210">
        <f>C1092</f>
        <v>1092</v>
      </c>
      <c r="G1102" s="206"/>
      <c r="H1102" s="206"/>
      <c r="I1102" s="208"/>
      <c r="J1102" s="208"/>
      <c r="K1102" s="234"/>
      <c r="L1102" s="208"/>
      <c r="M1102" s="217"/>
      <c r="N1102" s="208"/>
      <c r="O1102" s="218"/>
      <c r="P1102" s="208"/>
      <c r="Q1102" s="240"/>
      <c r="R1102" s="239"/>
      <c r="S1102" s="240"/>
      <c r="T1102" s="216"/>
      <c r="U1102" s="196"/>
    </row>
    <row r="1103" spans="3:21" s="185" customFormat="1" ht="20.25" customHeight="1">
      <c r="C1103" s="198"/>
      <c r="D1103" s="203">
        <f t="shared" si="396"/>
        <v>1093</v>
      </c>
      <c r="E1103" s="207" t="s">
        <v>472</v>
      </c>
      <c r="F1103" s="211"/>
      <c r="G1103" s="206" t="s">
        <v>44</v>
      </c>
      <c r="H1103" s="206"/>
      <c r="I1103" s="208"/>
      <c r="J1103" s="208" t="s">
        <v>463</v>
      </c>
      <c r="K1103" s="234">
        <v>1</v>
      </c>
      <c r="L1103" s="208" t="s">
        <v>39</v>
      </c>
      <c r="M1103" s="217">
        <v>1</v>
      </c>
      <c r="N1103" s="208" t="s">
        <v>39</v>
      </c>
      <c r="O1103" s="218">
        <v>1</v>
      </c>
      <c r="P1103" s="208" t="s">
        <v>112</v>
      </c>
      <c r="Q1103" s="240">
        <f t="shared" ref="Q1103:Q1104" si="398">M1103*O1103</f>
        <v>1</v>
      </c>
      <c r="R1103" s="239">
        <v>1</v>
      </c>
      <c r="S1103" s="240">
        <f t="shared" si="373"/>
        <v>2</v>
      </c>
      <c r="T1103" s="216" t="s">
        <v>48</v>
      </c>
      <c r="U1103" s="196" t="str">
        <f t="shared" si="374"/>
        <v>2 Hrs</v>
      </c>
    </row>
    <row r="1104" spans="3:21" s="185" customFormat="1" ht="20.25" customHeight="1">
      <c r="C1104" s="198"/>
      <c r="D1104" s="203">
        <f t="shared" si="396"/>
        <v>1094</v>
      </c>
      <c r="E1104" s="207" t="s">
        <v>473</v>
      </c>
      <c r="F1104" s="211">
        <f t="shared" ref="F1104" si="399">D1103</f>
        <v>1093</v>
      </c>
      <c r="G1104" s="206" t="s">
        <v>44</v>
      </c>
      <c r="H1104" s="206"/>
      <c r="I1104" s="208"/>
      <c r="J1104" s="208" t="s">
        <v>463</v>
      </c>
      <c r="K1104" s="234">
        <v>1</v>
      </c>
      <c r="L1104" s="208" t="s">
        <v>39</v>
      </c>
      <c r="M1104" s="217">
        <v>1</v>
      </c>
      <c r="N1104" s="208" t="s">
        <v>39</v>
      </c>
      <c r="O1104" s="218">
        <v>1</v>
      </c>
      <c r="P1104" s="208" t="s">
        <v>112</v>
      </c>
      <c r="Q1104" s="240">
        <f t="shared" si="398"/>
        <v>1</v>
      </c>
      <c r="R1104" s="239">
        <v>1</v>
      </c>
      <c r="S1104" s="240">
        <f t="shared" si="373"/>
        <v>2</v>
      </c>
      <c r="T1104" s="216" t="s">
        <v>48</v>
      </c>
      <c r="U1104" s="196" t="str">
        <f t="shared" si="374"/>
        <v>2 Hrs</v>
      </c>
    </row>
    <row r="1105" spans="3:21" s="185" customFormat="1" ht="20.25" customHeight="1">
      <c r="C1105" s="198">
        <f>D1105</f>
        <v>1095</v>
      </c>
      <c r="D1105" s="203">
        <f t="shared" si="396"/>
        <v>1095</v>
      </c>
      <c r="E1105" s="204" t="s">
        <v>474</v>
      </c>
      <c r="F1105" s="210">
        <f>C1102</f>
        <v>1092</v>
      </c>
      <c r="G1105" s="206"/>
      <c r="H1105" s="206"/>
      <c r="I1105" s="208"/>
      <c r="J1105" s="208"/>
      <c r="K1105" s="234"/>
      <c r="L1105" s="208"/>
      <c r="M1105" s="217"/>
      <c r="N1105" s="208"/>
      <c r="O1105" s="218"/>
      <c r="P1105" s="208"/>
      <c r="Q1105" s="240"/>
      <c r="R1105" s="239"/>
      <c r="S1105" s="240"/>
      <c r="T1105" s="216"/>
      <c r="U1105" s="196"/>
    </row>
    <row r="1106" spans="3:21" s="185" customFormat="1" ht="20.25" customHeight="1">
      <c r="C1106" s="198"/>
      <c r="D1106" s="203">
        <f t="shared" si="396"/>
        <v>1096</v>
      </c>
      <c r="E1106" s="207" t="s">
        <v>475</v>
      </c>
      <c r="F1106" s="211"/>
      <c r="G1106" s="206" t="s">
        <v>201</v>
      </c>
      <c r="H1106" s="206"/>
      <c r="I1106" s="208"/>
      <c r="J1106" s="208" t="s">
        <v>463</v>
      </c>
      <c r="K1106" s="234">
        <v>2</v>
      </c>
      <c r="L1106" s="208" t="s">
        <v>81</v>
      </c>
      <c r="M1106" s="217">
        <v>1</v>
      </c>
      <c r="N1106" s="208" t="s">
        <v>39</v>
      </c>
      <c r="O1106" s="218">
        <v>0.5</v>
      </c>
      <c r="P1106" s="208" t="s">
        <v>112</v>
      </c>
      <c r="Q1106" s="240">
        <f t="shared" ref="Q1106:Q1114" si="400">M1106*O1106</f>
        <v>0.5</v>
      </c>
      <c r="R1106" s="239">
        <v>1</v>
      </c>
      <c r="S1106" s="240">
        <f t="shared" si="373"/>
        <v>1.5</v>
      </c>
      <c r="T1106" s="216" t="s">
        <v>48</v>
      </c>
      <c r="U1106" s="196" t="str">
        <f t="shared" si="374"/>
        <v>1.5 Hrs</v>
      </c>
    </row>
    <row r="1107" spans="3:21" s="185" customFormat="1" ht="20.25" customHeight="1">
      <c r="C1107" s="198"/>
      <c r="D1107" s="203">
        <f t="shared" si="396"/>
        <v>1097</v>
      </c>
      <c r="E1107" s="207" t="s">
        <v>476</v>
      </c>
      <c r="F1107" s="211">
        <f t="shared" ref="F1107:F1114" si="401">D1106</f>
        <v>1096</v>
      </c>
      <c r="G1107" s="206" t="s">
        <v>115</v>
      </c>
      <c r="H1107" s="206"/>
      <c r="I1107" s="224">
        <v>14</v>
      </c>
      <c r="J1107" s="234" t="s">
        <v>477</v>
      </c>
      <c r="K1107" s="234">
        <v>1</v>
      </c>
      <c r="L1107" s="208" t="s">
        <v>39</v>
      </c>
      <c r="M1107" s="235">
        <f>16*25.4*3.142*K1107/1000</f>
        <v>1.2769088</v>
      </c>
      <c r="N1107" s="208" t="s">
        <v>249</v>
      </c>
      <c r="O1107" s="246">
        <f>VLOOKUP(I1107,BM!$A$2:$X$104,17,FALSE)</f>
        <v>3.22</v>
      </c>
      <c r="P1107" s="208" t="s">
        <v>112</v>
      </c>
      <c r="Q1107" s="240">
        <f t="shared" si="400"/>
        <v>4.1116463359999997</v>
      </c>
      <c r="R1107" s="239">
        <v>1</v>
      </c>
      <c r="S1107" s="240">
        <f t="shared" si="373"/>
        <v>5.1100000000000003</v>
      </c>
      <c r="T1107" s="216" t="s">
        <v>48</v>
      </c>
      <c r="U1107" s="196" t="str">
        <f t="shared" si="374"/>
        <v>5.11 Hrs</v>
      </c>
    </row>
    <row r="1108" spans="3:21" s="185" customFormat="1" ht="20.25" customHeight="1">
      <c r="C1108" s="198"/>
      <c r="D1108" s="203">
        <f t="shared" si="396"/>
        <v>1098</v>
      </c>
      <c r="E1108" s="207" t="s">
        <v>478</v>
      </c>
      <c r="F1108" s="211">
        <f t="shared" si="401"/>
        <v>1097</v>
      </c>
      <c r="G1108" s="206" t="s">
        <v>115</v>
      </c>
      <c r="H1108" s="206"/>
      <c r="I1108" s="224">
        <v>14</v>
      </c>
      <c r="J1108" s="234" t="s">
        <v>477</v>
      </c>
      <c r="K1108" s="234">
        <v>1</v>
      </c>
      <c r="L1108" s="208" t="s">
        <v>39</v>
      </c>
      <c r="M1108" s="235">
        <f>16*25.4*3.142*K1108/1000</f>
        <v>1.2769088</v>
      </c>
      <c r="N1108" s="208" t="s">
        <v>249</v>
      </c>
      <c r="O1108" s="246">
        <f>VLOOKUP(I1108,BM!$A$2:$X$104,17,FALSE)</f>
        <v>3.22</v>
      </c>
      <c r="P1108" s="208" t="s">
        <v>112</v>
      </c>
      <c r="Q1108" s="240">
        <f t="shared" si="400"/>
        <v>4.1116463359999997</v>
      </c>
      <c r="R1108" s="239">
        <v>1</v>
      </c>
      <c r="S1108" s="240">
        <f t="shared" si="373"/>
        <v>5.1100000000000003</v>
      </c>
      <c r="T1108" s="216" t="s">
        <v>48</v>
      </c>
      <c r="U1108" s="196" t="str">
        <f t="shared" si="374"/>
        <v>5.11 Hrs</v>
      </c>
    </row>
    <row r="1109" spans="3:21" s="185" customFormat="1" ht="20.25" customHeight="1">
      <c r="C1109" s="198"/>
      <c r="D1109" s="203">
        <f t="shared" si="396"/>
        <v>1099</v>
      </c>
      <c r="E1109" s="207" t="s">
        <v>479</v>
      </c>
      <c r="F1109" s="211">
        <f t="shared" si="401"/>
        <v>1098</v>
      </c>
      <c r="G1109" s="206" t="s">
        <v>115</v>
      </c>
      <c r="H1109" s="206"/>
      <c r="I1109" s="224">
        <v>14</v>
      </c>
      <c r="J1109" s="234" t="s">
        <v>477</v>
      </c>
      <c r="K1109" s="234">
        <v>2</v>
      </c>
      <c r="L1109" s="208" t="s">
        <v>39</v>
      </c>
      <c r="M1109" s="217">
        <v>2</v>
      </c>
      <c r="N1109" s="208" t="s">
        <v>81</v>
      </c>
      <c r="O1109" s="218">
        <v>1</v>
      </c>
      <c r="P1109" s="208" t="s">
        <v>112</v>
      </c>
      <c r="Q1109" s="240">
        <f t="shared" si="400"/>
        <v>2</v>
      </c>
      <c r="R1109" s="239">
        <v>1</v>
      </c>
      <c r="S1109" s="240">
        <f t="shared" si="373"/>
        <v>3</v>
      </c>
      <c r="T1109" s="216" t="s">
        <v>48</v>
      </c>
      <c r="U1109" s="196" t="str">
        <f t="shared" si="374"/>
        <v>3 Hrs</v>
      </c>
    </row>
    <row r="1110" spans="3:21" s="185" customFormat="1" ht="20.25" customHeight="1">
      <c r="C1110" s="198"/>
      <c r="D1110" s="203">
        <f t="shared" si="396"/>
        <v>1100</v>
      </c>
      <c r="E1110" s="207" t="s">
        <v>480</v>
      </c>
      <c r="F1110" s="211">
        <f t="shared" si="401"/>
        <v>1099</v>
      </c>
      <c r="G1110" s="206" t="s">
        <v>115</v>
      </c>
      <c r="H1110" s="206"/>
      <c r="I1110" s="224">
        <v>6</v>
      </c>
      <c r="J1110" s="234" t="s">
        <v>477</v>
      </c>
      <c r="K1110" s="234">
        <v>1</v>
      </c>
      <c r="L1110" s="208" t="s">
        <v>39</v>
      </c>
      <c r="M1110" s="235">
        <f>16*25.4*3.142*K1110/1000</f>
        <v>1.2769088</v>
      </c>
      <c r="N1110" s="208" t="s">
        <v>249</v>
      </c>
      <c r="O1110" s="246">
        <f>VLOOKUP(I1110,BM!$A$2:$X$104,17,FALSE)</f>
        <v>0.9</v>
      </c>
      <c r="P1110" s="208" t="s">
        <v>112</v>
      </c>
      <c r="Q1110" s="240">
        <f t="shared" si="400"/>
        <v>1.1492179199999999</v>
      </c>
      <c r="R1110" s="239">
        <v>1</v>
      </c>
      <c r="S1110" s="240">
        <f t="shared" si="373"/>
        <v>2.15</v>
      </c>
      <c r="T1110" s="216" t="s">
        <v>48</v>
      </c>
      <c r="U1110" s="196" t="str">
        <f t="shared" si="374"/>
        <v>2.15 Hrs</v>
      </c>
    </row>
    <row r="1111" spans="3:21" s="185" customFormat="1" ht="20.25" customHeight="1">
      <c r="C1111" s="198"/>
      <c r="D1111" s="203">
        <f t="shared" si="396"/>
        <v>1101</v>
      </c>
      <c r="E1111" s="207" t="s">
        <v>481</v>
      </c>
      <c r="F1111" s="211">
        <f t="shared" si="401"/>
        <v>1100</v>
      </c>
      <c r="G1111" s="206" t="s">
        <v>115</v>
      </c>
      <c r="H1111" s="206"/>
      <c r="I1111" s="224">
        <v>6</v>
      </c>
      <c r="J1111" s="234" t="s">
        <v>477</v>
      </c>
      <c r="K1111" s="234">
        <v>1</v>
      </c>
      <c r="L1111" s="208" t="s">
        <v>39</v>
      </c>
      <c r="M1111" s="235">
        <f>16*25.4*3.142*K1111/1000</f>
        <v>1.2769088</v>
      </c>
      <c r="N1111" s="208" t="s">
        <v>249</v>
      </c>
      <c r="O1111" s="246">
        <f>VLOOKUP(I1111,BM!$A$2:$X$104,17,FALSE)</f>
        <v>0.9</v>
      </c>
      <c r="P1111" s="208" t="s">
        <v>112</v>
      </c>
      <c r="Q1111" s="240">
        <f t="shared" si="400"/>
        <v>1.1492179199999999</v>
      </c>
      <c r="R1111" s="239">
        <v>1</v>
      </c>
      <c r="S1111" s="240">
        <f t="shared" si="373"/>
        <v>2.15</v>
      </c>
      <c r="T1111" s="216" t="s">
        <v>48</v>
      </c>
      <c r="U1111" s="196" t="str">
        <f t="shared" si="374"/>
        <v>2.15 Hrs</v>
      </c>
    </row>
    <row r="1112" spans="3:21" s="185" customFormat="1" ht="20.25" customHeight="1">
      <c r="C1112" s="198"/>
      <c r="D1112" s="203">
        <f t="shared" si="396"/>
        <v>1102</v>
      </c>
      <c r="E1112" s="207" t="s">
        <v>482</v>
      </c>
      <c r="F1112" s="211">
        <f t="shared" si="401"/>
        <v>1101</v>
      </c>
      <c r="G1112" s="206" t="s">
        <v>115</v>
      </c>
      <c r="H1112" s="206"/>
      <c r="I1112" s="208"/>
      <c r="J1112" s="234" t="s">
        <v>463</v>
      </c>
      <c r="K1112" s="234">
        <v>2</v>
      </c>
      <c r="L1112" s="208" t="s">
        <v>39</v>
      </c>
      <c r="M1112" s="217">
        <v>2</v>
      </c>
      <c r="N1112" s="208" t="s">
        <v>84</v>
      </c>
      <c r="O1112" s="246">
        <f>VLOOKUP(J1112,BM!$A$2:$X$104,11,FALSE)</f>
        <v>4</v>
      </c>
      <c r="P1112" s="208" t="s">
        <v>112</v>
      </c>
      <c r="Q1112" s="240">
        <f t="shared" si="400"/>
        <v>8</v>
      </c>
      <c r="R1112" s="239">
        <v>1</v>
      </c>
      <c r="S1112" s="240">
        <f t="shared" si="373"/>
        <v>9</v>
      </c>
      <c r="T1112" s="216" t="s">
        <v>48</v>
      </c>
      <c r="U1112" s="196" t="str">
        <f t="shared" si="374"/>
        <v>9 Hrs</v>
      </c>
    </row>
    <row r="1113" spans="3:21" s="185" customFormat="1" ht="20.25" customHeight="1">
      <c r="C1113" s="198"/>
      <c r="D1113" s="203">
        <f t="shared" si="396"/>
        <v>1103</v>
      </c>
      <c r="E1113" s="207" t="s">
        <v>483</v>
      </c>
      <c r="F1113" s="211">
        <f t="shared" si="401"/>
        <v>1102</v>
      </c>
      <c r="G1113" s="206" t="s">
        <v>121</v>
      </c>
      <c r="H1113" s="206"/>
      <c r="I1113" s="224">
        <v>18</v>
      </c>
      <c r="J1113" s="208"/>
      <c r="K1113" s="234">
        <v>2</v>
      </c>
      <c r="L1113" s="208" t="s">
        <v>39</v>
      </c>
      <c r="M1113" s="235">
        <f>16*25.4*3.142*0.001*K1113</f>
        <v>2.5538175999999999</v>
      </c>
      <c r="N1113" s="208" t="s">
        <v>249</v>
      </c>
      <c r="O1113" s="246">
        <f>VLOOKUP(I1113,BM!$A$2:$X$104,23,FALSE)</f>
        <v>6.8</v>
      </c>
      <c r="P1113" s="208" t="s">
        <v>112</v>
      </c>
      <c r="Q1113" s="240">
        <f t="shared" si="400"/>
        <v>17.36595968</v>
      </c>
      <c r="R1113" s="239">
        <v>1</v>
      </c>
      <c r="S1113" s="240">
        <f t="shared" si="373"/>
        <v>18.37</v>
      </c>
      <c r="T1113" s="216" t="s">
        <v>48</v>
      </c>
      <c r="U1113" s="196" t="str">
        <f t="shared" si="374"/>
        <v>18.37 Hrs</v>
      </c>
    </row>
    <row r="1114" spans="3:21" s="185" customFormat="1" ht="20.25" customHeight="1">
      <c r="C1114" s="198"/>
      <c r="D1114" s="203">
        <f t="shared" si="396"/>
        <v>1104</v>
      </c>
      <c r="E1114" s="207" t="s">
        <v>484</v>
      </c>
      <c r="F1114" s="211">
        <f t="shared" si="401"/>
        <v>1103</v>
      </c>
      <c r="G1114" s="206" t="s">
        <v>61</v>
      </c>
      <c r="H1114" s="206"/>
      <c r="I1114" s="208"/>
      <c r="J1114" s="234" t="s">
        <v>477</v>
      </c>
      <c r="K1114" s="234">
        <v>2</v>
      </c>
      <c r="L1114" s="208" t="s">
        <v>485</v>
      </c>
      <c r="M1114" s="235">
        <f>16*25.4*3.142*K1114/1000</f>
        <v>2.5538175999999999</v>
      </c>
      <c r="N1114" s="208" t="s">
        <v>39</v>
      </c>
      <c r="O1114" s="218">
        <v>0.15</v>
      </c>
      <c r="P1114" s="208" t="s">
        <v>112</v>
      </c>
      <c r="Q1114" s="240">
        <f t="shared" si="400"/>
        <v>0.38307263999999996</v>
      </c>
      <c r="R1114" s="239">
        <v>1</v>
      </c>
      <c r="S1114" s="240">
        <f t="shared" si="373"/>
        <v>1.38</v>
      </c>
      <c r="T1114" s="216" t="s">
        <v>48</v>
      </c>
      <c r="U1114" s="196" t="str">
        <f t="shared" si="374"/>
        <v>1.38 Hrs</v>
      </c>
    </row>
    <row r="1115" spans="3:21" s="185" customFormat="1" ht="20.25" customHeight="1">
      <c r="C1115" s="198">
        <f>D1115</f>
        <v>1105</v>
      </c>
      <c r="D1115" s="203">
        <f t="shared" si="396"/>
        <v>1105</v>
      </c>
      <c r="E1115" s="204" t="s">
        <v>486</v>
      </c>
      <c r="F1115" s="210">
        <f>C1105</f>
        <v>1095</v>
      </c>
      <c r="G1115" s="206"/>
      <c r="H1115" s="206"/>
      <c r="I1115" s="208"/>
      <c r="J1115" s="208"/>
      <c r="K1115" s="234"/>
      <c r="L1115" s="208"/>
      <c r="M1115" s="217"/>
      <c r="N1115" s="208"/>
      <c r="O1115" s="218"/>
      <c r="P1115" s="208"/>
      <c r="Q1115" s="240"/>
      <c r="R1115" s="239"/>
      <c r="S1115" s="240"/>
      <c r="T1115" s="216"/>
      <c r="U1115" s="196"/>
    </row>
    <row r="1116" spans="3:21" s="185" customFormat="1" ht="20.25" customHeight="1">
      <c r="C1116" s="198"/>
      <c r="D1116" s="203">
        <f t="shared" si="396"/>
        <v>1106</v>
      </c>
      <c r="E1116" s="207" t="s">
        <v>487</v>
      </c>
      <c r="F1116" s="211"/>
      <c r="G1116" s="206" t="s">
        <v>299</v>
      </c>
      <c r="H1116" s="206"/>
      <c r="I1116" s="224">
        <v>24</v>
      </c>
      <c r="J1116" s="234">
        <v>14465</v>
      </c>
      <c r="K1116" s="234">
        <v>1</v>
      </c>
      <c r="L1116" s="208" t="s">
        <v>39</v>
      </c>
      <c r="M1116" s="217">
        <f>J1116*K1116/1000</f>
        <v>14.465</v>
      </c>
      <c r="N1116" s="208" t="s">
        <v>81</v>
      </c>
      <c r="O1116" s="218">
        <v>0.5</v>
      </c>
      <c r="P1116" s="208" t="s">
        <v>112</v>
      </c>
      <c r="Q1116" s="240">
        <f t="shared" ref="Q1116:Q1117" si="402">M1116*O1116</f>
        <v>7.2324999999999999</v>
      </c>
      <c r="R1116" s="239">
        <v>1</v>
      </c>
      <c r="S1116" s="240">
        <f t="shared" si="373"/>
        <v>8.23</v>
      </c>
      <c r="T1116" s="216" t="s">
        <v>48</v>
      </c>
      <c r="U1116" s="196" t="str">
        <f t="shared" ref="U1116:U1178" si="403">CONCATENATE(S1116," ",T1116)</f>
        <v>8.23 Hrs</v>
      </c>
    </row>
    <row r="1117" spans="3:21" s="185" customFormat="1" ht="20.25" customHeight="1">
      <c r="C1117" s="198"/>
      <c r="D1117" s="203">
        <f t="shared" si="396"/>
        <v>1107</v>
      </c>
      <c r="E1117" s="207" t="s">
        <v>488</v>
      </c>
      <c r="F1117" s="211">
        <f t="shared" ref="F1117" si="404">D1116</f>
        <v>1106</v>
      </c>
      <c r="G1117" s="206" t="s">
        <v>44</v>
      </c>
      <c r="H1117" s="206"/>
      <c r="I1117" s="224">
        <v>24</v>
      </c>
      <c r="J1117" s="234" t="s">
        <v>489</v>
      </c>
      <c r="K1117" s="234">
        <v>3</v>
      </c>
      <c r="L1117" s="208" t="s">
        <v>39</v>
      </c>
      <c r="M1117" s="217">
        <v>4</v>
      </c>
      <c r="N1117" s="208" t="s">
        <v>81</v>
      </c>
      <c r="O1117" s="218">
        <v>0.5</v>
      </c>
      <c r="P1117" s="208" t="s">
        <v>112</v>
      </c>
      <c r="Q1117" s="240">
        <f t="shared" si="402"/>
        <v>2</v>
      </c>
      <c r="R1117" s="239">
        <v>1</v>
      </c>
      <c r="S1117" s="240">
        <f t="shared" si="373"/>
        <v>3</v>
      </c>
      <c r="T1117" s="216" t="s">
        <v>48</v>
      </c>
      <c r="U1117" s="196" t="str">
        <f t="shared" si="403"/>
        <v>3 Hrs</v>
      </c>
    </row>
    <row r="1118" spans="3:21" s="185" customFormat="1" ht="20.25" customHeight="1">
      <c r="C1118" s="198">
        <f>D1118</f>
        <v>1108</v>
      </c>
      <c r="D1118" s="203">
        <f t="shared" si="396"/>
        <v>1108</v>
      </c>
      <c r="E1118" s="204" t="s">
        <v>490</v>
      </c>
      <c r="F1118" s="210">
        <f>C1115</f>
        <v>1105</v>
      </c>
      <c r="G1118" s="206"/>
      <c r="H1118" s="206"/>
      <c r="I1118" s="208"/>
      <c r="J1118" s="208"/>
      <c r="K1118" s="234"/>
      <c r="L1118" s="208"/>
      <c r="M1118" s="217"/>
      <c r="N1118" s="208"/>
      <c r="O1118" s="218"/>
      <c r="P1118" s="208"/>
      <c r="Q1118" s="240"/>
      <c r="R1118" s="239"/>
      <c r="S1118" s="240"/>
      <c r="T1118" s="216"/>
      <c r="U1118" s="196"/>
    </row>
    <row r="1119" spans="3:21" s="185" customFormat="1" ht="20.25" customHeight="1">
      <c r="C1119" s="198"/>
      <c r="D1119" s="203">
        <f t="shared" si="396"/>
        <v>1109</v>
      </c>
      <c r="E1119" s="207" t="s">
        <v>491</v>
      </c>
      <c r="F1119" s="211"/>
      <c r="G1119" s="206" t="s">
        <v>115</v>
      </c>
      <c r="H1119" s="206"/>
      <c r="I1119" s="224">
        <v>24</v>
      </c>
      <c r="J1119" s="234">
        <v>1480</v>
      </c>
      <c r="K1119" s="234">
        <v>3</v>
      </c>
      <c r="L1119" s="208" t="s">
        <v>39</v>
      </c>
      <c r="M1119" s="235">
        <f>J1119*K1119/1000</f>
        <v>4.4400000000000004</v>
      </c>
      <c r="N1119" s="208"/>
      <c r="O1119" s="246">
        <f>VLOOKUP(I1119,BM!$A$2:$X$104,23,FALSE)</f>
        <v>11.2</v>
      </c>
      <c r="P1119" s="208" t="s">
        <v>112</v>
      </c>
      <c r="Q1119" s="240">
        <f t="shared" ref="Q1119:Q1120" si="405">M1119*O1119</f>
        <v>49.728000000000002</v>
      </c>
      <c r="R1119" s="239">
        <v>1</v>
      </c>
      <c r="S1119" s="240">
        <f t="shared" ref="S1119:S1181" si="406">ROUND(Q1119+R1119,2)</f>
        <v>50.73</v>
      </c>
      <c r="T1119" s="216" t="s">
        <v>48</v>
      </c>
      <c r="U1119" s="196" t="str">
        <f t="shared" si="403"/>
        <v>50.73 Hrs</v>
      </c>
    </row>
    <row r="1120" spans="3:21" s="185" customFormat="1" ht="20.25" customHeight="1">
      <c r="C1120" s="198"/>
      <c r="D1120" s="203">
        <f t="shared" si="396"/>
        <v>1110</v>
      </c>
      <c r="E1120" s="207" t="s">
        <v>492</v>
      </c>
      <c r="F1120" s="211">
        <f t="shared" ref="F1120" si="407">D1119</f>
        <v>1109</v>
      </c>
      <c r="G1120" s="206" t="s">
        <v>121</v>
      </c>
      <c r="H1120" s="206"/>
      <c r="I1120" s="224">
        <v>12</v>
      </c>
      <c r="J1120" s="234" t="s">
        <v>493</v>
      </c>
      <c r="K1120" s="234">
        <v>1</v>
      </c>
      <c r="L1120" s="208" t="s">
        <v>39</v>
      </c>
      <c r="M1120" s="227">
        <f>LEFT(J1120,SEARCH(" ",J1120,1)-1)*K1120/1000</f>
        <v>12.31</v>
      </c>
      <c r="N1120" s="208" t="s">
        <v>39</v>
      </c>
      <c r="O1120" s="246">
        <f>VLOOKUP(I1120,BM!$A$2:$X$104,22,FALSE)</f>
        <v>1.6</v>
      </c>
      <c r="P1120" s="208" t="s">
        <v>112</v>
      </c>
      <c r="Q1120" s="240">
        <f t="shared" si="405"/>
        <v>19.696000000000002</v>
      </c>
      <c r="R1120" s="239">
        <v>1</v>
      </c>
      <c r="S1120" s="240">
        <f t="shared" si="406"/>
        <v>20.7</v>
      </c>
      <c r="T1120" s="216" t="s">
        <v>48</v>
      </c>
      <c r="U1120" s="196" t="str">
        <f t="shared" si="403"/>
        <v>20.7 Hrs</v>
      </c>
    </row>
    <row r="1121" spans="3:21" s="185" customFormat="1" ht="20.25" customHeight="1">
      <c r="C1121" s="198">
        <f>D1121</f>
        <v>1111</v>
      </c>
      <c r="D1121" s="203">
        <f t="shared" si="396"/>
        <v>1111</v>
      </c>
      <c r="E1121" s="204" t="s">
        <v>494</v>
      </c>
      <c r="F1121" s="210">
        <f>C1118</f>
        <v>1108</v>
      </c>
      <c r="G1121" s="206"/>
      <c r="H1121" s="206"/>
      <c r="I1121" s="208"/>
      <c r="J1121" s="208"/>
      <c r="K1121" s="234"/>
      <c r="L1121" s="208"/>
      <c r="M1121" s="217"/>
      <c r="N1121" s="208"/>
      <c r="O1121" s="218"/>
      <c r="P1121" s="208"/>
      <c r="Q1121" s="240"/>
      <c r="R1121" s="239"/>
      <c r="S1121" s="240"/>
      <c r="T1121" s="216"/>
      <c r="U1121" s="196"/>
    </row>
    <row r="1122" spans="3:21" s="185" customFormat="1" ht="20.25" customHeight="1">
      <c r="C1122" s="198"/>
      <c r="D1122" s="203">
        <f t="shared" si="396"/>
        <v>1112</v>
      </c>
      <c r="E1122" s="207" t="s">
        <v>495</v>
      </c>
      <c r="F1122" s="211"/>
      <c r="G1122" s="206" t="s">
        <v>44</v>
      </c>
      <c r="H1122" s="206"/>
      <c r="I1122" s="224">
        <v>18</v>
      </c>
      <c r="J1122" s="234" t="s">
        <v>496</v>
      </c>
      <c r="K1122" s="234">
        <v>1</v>
      </c>
      <c r="L1122" s="208" t="s">
        <v>39</v>
      </c>
      <c r="M1122" s="217">
        <v>1</v>
      </c>
      <c r="N1122" s="208" t="s">
        <v>39</v>
      </c>
      <c r="O1122" s="218">
        <v>4</v>
      </c>
      <c r="P1122" s="208" t="s">
        <v>112</v>
      </c>
      <c r="Q1122" s="240">
        <f t="shared" ref="Q1122:Q1124" si="408">M1122*O1122</f>
        <v>4</v>
      </c>
      <c r="R1122" s="239">
        <v>1</v>
      </c>
      <c r="S1122" s="240">
        <f t="shared" si="406"/>
        <v>5</v>
      </c>
      <c r="T1122" s="216" t="s">
        <v>48</v>
      </c>
      <c r="U1122" s="196" t="str">
        <f t="shared" si="403"/>
        <v>5 Hrs</v>
      </c>
    </row>
    <row r="1123" spans="3:21" s="185" customFormat="1" ht="20.25" customHeight="1">
      <c r="C1123" s="198"/>
      <c r="D1123" s="203">
        <f t="shared" si="396"/>
        <v>1113</v>
      </c>
      <c r="E1123" s="207" t="s">
        <v>497</v>
      </c>
      <c r="F1123" s="211">
        <f t="shared" ref="F1123:F1124" si="409">D1122</f>
        <v>1112</v>
      </c>
      <c r="G1123" s="206" t="s">
        <v>498</v>
      </c>
      <c r="H1123" s="206"/>
      <c r="I1123" s="224">
        <v>18</v>
      </c>
      <c r="J1123" s="234" t="s">
        <v>499</v>
      </c>
      <c r="K1123" s="234">
        <v>1</v>
      </c>
      <c r="L1123" s="208" t="s">
        <v>39</v>
      </c>
      <c r="M1123" s="217">
        <v>1</v>
      </c>
      <c r="N1123" s="208" t="s">
        <v>39</v>
      </c>
      <c r="O1123" s="218">
        <v>4</v>
      </c>
      <c r="P1123" s="208" t="s">
        <v>112</v>
      </c>
      <c r="Q1123" s="240">
        <f t="shared" si="408"/>
        <v>4</v>
      </c>
      <c r="R1123" s="239">
        <v>1</v>
      </c>
      <c r="S1123" s="240">
        <f t="shared" si="406"/>
        <v>5</v>
      </c>
      <c r="T1123" s="216" t="s">
        <v>48</v>
      </c>
      <c r="U1123" s="196" t="str">
        <f t="shared" si="403"/>
        <v>5 Hrs</v>
      </c>
    </row>
    <row r="1124" spans="3:21" s="185" customFormat="1" ht="20.25" customHeight="1">
      <c r="C1124" s="198"/>
      <c r="D1124" s="203">
        <f t="shared" si="396"/>
        <v>1114</v>
      </c>
      <c r="E1124" s="207" t="s">
        <v>500</v>
      </c>
      <c r="F1124" s="211">
        <f t="shared" si="409"/>
        <v>1113</v>
      </c>
      <c r="G1124" s="206" t="s">
        <v>115</v>
      </c>
      <c r="H1124" s="206"/>
      <c r="I1124" s="224">
        <v>12</v>
      </c>
      <c r="J1124" s="234">
        <v>6</v>
      </c>
      <c r="K1124" s="234">
        <v>1</v>
      </c>
      <c r="L1124" s="208" t="s">
        <v>39</v>
      </c>
      <c r="M1124" s="235">
        <f>J1124*K1124</f>
        <v>6</v>
      </c>
      <c r="N1124" s="208" t="s">
        <v>139</v>
      </c>
      <c r="O1124" s="246">
        <f>VLOOKUP(I1124,BM!$A$2:$X$104,22,FALSE)</f>
        <v>1.6</v>
      </c>
      <c r="P1124" s="208" t="s">
        <v>112</v>
      </c>
      <c r="Q1124" s="240">
        <f t="shared" si="408"/>
        <v>9.6000000000000014</v>
      </c>
      <c r="R1124" s="239">
        <v>1</v>
      </c>
      <c r="S1124" s="240">
        <f t="shared" si="406"/>
        <v>10.6</v>
      </c>
      <c r="T1124" s="216" t="s">
        <v>48</v>
      </c>
      <c r="U1124" s="196" t="str">
        <f t="shared" si="403"/>
        <v>10.6 Hrs</v>
      </c>
    </row>
    <row r="1125" spans="3:21" s="185" customFormat="1" ht="20.25" customHeight="1">
      <c r="C1125" s="198">
        <f>D1125</f>
        <v>1115</v>
      </c>
      <c r="D1125" s="203">
        <f t="shared" si="396"/>
        <v>1115</v>
      </c>
      <c r="E1125" s="204" t="s">
        <v>501</v>
      </c>
      <c r="F1125" s="210">
        <f>C1121</f>
        <v>1111</v>
      </c>
      <c r="G1125" s="206"/>
      <c r="H1125" s="206"/>
      <c r="I1125" s="208"/>
      <c r="J1125" s="208"/>
      <c r="K1125" s="234"/>
      <c r="L1125" s="208"/>
      <c r="M1125" s="217"/>
      <c r="N1125" s="208"/>
      <c r="O1125" s="218"/>
      <c r="P1125" s="208"/>
      <c r="Q1125" s="240"/>
      <c r="R1125" s="239"/>
      <c r="S1125" s="240"/>
      <c r="T1125" s="216"/>
      <c r="U1125" s="196"/>
    </row>
    <row r="1126" spans="3:21" s="185" customFormat="1" ht="20.25" customHeight="1">
      <c r="C1126" s="198"/>
      <c r="D1126" s="203">
        <f t="shared" si="396"/>
        <v>1116</v>
      </c>
      <c r="E1126" s="207" t="s">
        <v>502</v>
      </c>
      <c r="F1126" s="211"/>
      <c r="G1126" s="206" t="s">
        <v>149</v>
      </c>
      <c r="H1126" s="206"/>
      <c r="I1126" s="224">
        <v>18</v>
      </c>
      <c r="J1126" s="234" t="s">
        <v>503</v>
      </c>
      <c r="K1126" s="234">
        <v>1</v>
      </c>
      <c r="L1126" s="208" t="s">
        <v>39</v>
      </c>
      <c r="M1126" s="217">
        <v>1</v>
      </c>
      <c r="N1126" s="208" t="s">
        <v>39</v>
      </c>
      <c r="O1126" s="218">
        <v>8</v>
      </c>
      <c r="P1126" s="208" t="s">
        <v>112</v>
      </c>
      <c r="Q1126" s="240">
        <f t="shared" ref="Q1126:Q1127" si="410">M1126*O1126</f>
        <v>8</v>
      </c>
      <c r="R1126" s="239">
        <v>1</v>
      </c>
      <c r="S1126" s="240">
        <f t="shared" si="406"/>
        <v>9</v>
      </c>
      <c r="T1126" s="216" t="s">
        <v>48</v>
      </c>
      <c r="U1126" s="196" t="str">
        <f t="shared" si="403"/>
        <v>9 Hrs</v>
      </c>
    </row>
    <row r="1127" spans="3:21" s="185" customFormat="1" ht="20.25" customHeight="1">
      <c r="C1127" s="198"/>
      <c r="D1127" s="203">
        <f t="shared" si="396"/>
        <v>1117</v>
      </c>
      <c r="E1127" s="207" t="s">
        <v>504</v>
      </c>
      <c r="F1127" s="211">
        <f t="shared" ref="F1127" si="411">D1126</f>
        <v>1116</v>
      </c>
      <c r="G1127" s="206" t="s">
        <v>63</v>
      </c>
      <c r="H1127" s="206"/>
      <c r="I1127" s="224">
        <v>18</v>
      </c>
      <c r="J1127" s="234" t="s">
        <v>503</v>
      </c>
      <c r="K1127" s="234">
        <v>1</v>
      </c>
      <c r="L1127" s="208" t="s">
        <v>39</v>
      </c>
      <c r="M1127" s="217">
        <v>1</v>
      </c>
      <c r="N1127" s="208" t="s">
        <v>39</v>
      </c>
      <c r="O1127" s="218">
        <v>1</v>
      </c>
      <c r="P1127" s="208" t="s">
        <v>41</v>
      </c>
      <c r="Q1127" s="240">
        <f t="shared" si="410"/>
        <v>1</v>
      </c>
      <c r="R1127" s="239"/>
      <c r="S1127" s="240">
        <f t="shared" si="406"/>
        <v>1</v>
      </c>
      <c r="T1127" s="216" t="s">
        <v>48</v>
      </c>
      <c r="U1127" s="196" t="str">
        <f t="shared" si="403"/>
        <v>1 Hrs</v>
      </c>
    </row>
    <row r="1128" spans="3:21" s="185" customFormat="1" ht="20.25" customHeight="1">
      <c r="C1128" s="198">
        <f t="shared" ref="C1128:C1129" si="412">D1128</f>
        <v>1118</v>
      </c>
      <c r="D1128" s="203">
        <f t="shared" si="396"/>
        <v>1118</v>
      </c>
      <c r="E1128" s="247" t="s">
        <v>505</v>
      </c>
      <c r="F1128" s="210">
        <f>C1125</f>
        <v>1115</v>
      </c>
      <c r="G1128" s="206"/>
      <c r="H1128" s="206"/>
      <c r="I1128" s="208"/>
      <c r="J1128" s="208"/>
      <c r="K1128" s="234"/>
      <c r="L1128" s="208"/>
      <c r="M1128" s="217"/>
      <c r="N1128" s="208"/>
      <c r="O1128" s="218"/>
      <c r="P1128" s="208"/>
      <c r="Q1128" s="240"/>
      <c r="R1128" s="239"/>
      <c r="S1128" s="240"/>
      <c r="T1128" s="216"/>
      <c r="U1128" s="196"/>
    </row>
    <row r="1129" spans="3:21" s="185" customFormat="1" ht="20.25" customHeight="1">
      <c r="C1129" s="198">
        <f t="shared" si="412"/>
        <v>1119</v>
      </c>
      <c r="D1129" s="203">
        <f t="shared" si="396"/>
        <v>1119</v>
      </c>
      <c r="E1129" s="204" t="s">
        <v>506</v>
      </c>
      <c r="F1129" s="210">
        <v>7</v>
      </c>
      <c r="G1129" s="206"/>
      <c r="H1129" s="206"/>
      <c r="I1129" s="208"/>
      <c r="J1129" s="208"/>
      <c r="K1129" s="234">
        <v>1</v>
      </c>
      <c r="L1129" s="208" t="s">
        <v>39</v>
      </c>
      <c r="M1129" s="217">
        <v>1</v>
      </c>
      <c r="N1129" s="208" t="s">
        <v>39</v>
      </c>
      <c r="O1129" s="218">
        <v>4</v>
      </c>
      <c r="P1129" s="208" t="s">
        <v>41</v>
      </c>
      <c r="Q1129" s="240">
        <f t="shared" ref="Q1129:Q1135" si="413">M1129*O1129</f>
        <v>4</v>
      </c>
      <c r="R1129" s="239"/>
      <c r="S1129" s="240">
        <f t="shared" si="406"/>
        <v>4</v>
      </c>
      <c r="T1129" s="216" t="s">
        <v>48</v>
      </c>
      <c r="U1129" s="196" t="str">
        <f t="shared" si="403"/>
        <v>4 Hrs</v>
      </c>
    </row>
    <row r="1130" spans="3:21" s="185" customFormat="1" ht="20.25" customHeight="1">
      <c r="C1130" s="198"/>
      <c r="D1130" s="203">
        <f t="shared" si="396"/>
        <v>1120</v>
      </c>
      <c r="E1130" s="207" t="s">
        <v>507</v>
      </c>
      <c r="F1130" s="211"/>
      <c r="G1130" s="206" t="s">
        <v>37</v>
      </c>
      <c r="H1130" s="206"/>
      <c r="I1130" s="224">
        <v>18</v>
      </c>
      <c r="J1130" s="234" t="s">
        <v>508</v>
      </c>
      <c r="K1130" s="234">
        <v>1</v>
      </c>
      <c r="L1130" s="208" t="s">
        <v>81</v>
      </c>
      <c r="M1130" s="227">
        <f>LEFT(J1130,SEARCH(" ",J1130,1)-1)*K1130/1000</f>
        <v>0.373</v>
      </c>
      <c r="N1130" s="208" t="s">
        <v>139</v>
      </c>
      <c r="O1130" s="246">
        <f>VLOOKUP(I1130,BM!$A$2:$X$104,2,FALSE)</f>
        <v>0.1</v>
      </c>
      <c r="P1130" s="208" t="s">
        <v>47</v>
      </c>
      <c r="Q1130" s="240">
        <f t="shared" si="413"/>
        <v>3.73E-2</v>
      </c>
      <c r="R1130" s="239">
        <v>1</v>
      </c>
      <c r="S1130" s="240">
        <f t="shared" si="406"/>
        <v>1.04</v>
      </c>
      <c r="T1130" s="216" t="s">
        <v>48</v>
      </c>
      <c r="U1130" s="196" t="str">
        <f t="shared" si="403"/>
        <v>1.04 Hrs</v>
      </c>
    </row>
    <row r="1131" spans="3:21" s="185" customFormat="1" ht="20.25" customHeight="1">
      <c r="C1131" s="198"/>
      <c r="D1131" s="203">
        <f t="shared" si="396"/>
        <v>1121</v>
      </c>
      <c r="E1131" s="207" t="s">
        <v>509</v>
      </c>
      <c r="F1131" s="211">
        <f t="shared" ref="F1131:F1135" si="414">D1130</f>
        <v>1120</v>
      </c>
      <c r="G1131" s="206" t="s">
        <v>201</v>
      </c>
      <c r="H1131" s="206"/>
      <c r="I1131" s="224">
        <v>18</v>
      </c>
      <c r="J1131" s="234" t="s">
        <v>510</v>
      </c>
      <c r="K1131" s="234">
        <v>1</v>
      </c>
      <c r="L1131" s="208" t="s">
        <v>81</v>
      </c>
      <c r="M1131" s="227">
        <f t="shared" ref="M1131:M1135" si="415">LEFT(J1131,SEARCH(" ",J1131,1)-1)*K1131/1000</f>
        <v>11.3</v>
      </c>
      <c r="N1131" s="208" t="s">
        <v>139</v>
      </c>
      <c r="O1131" s="246">
        <f>VLOOKUP(I1131,BM!$A$2:$X$104,3,FALSE)</f>
        <v>0.25</v>
      </c>
      <c r="P1131" s="208" t="s">
        <v>47</v>
      </c>
      <c r="Q1131" s="240">
        <f t="shared" si="413"/>
        <v>2.8250000000000002</v>
      </c>
      <c r="R1131" s="239">
        <v>1</v>
      </c>
      <c r="S1131" s="240">
        <f t="shared" si="406"/>
        <v>3.83</v>
      </c>
      <c r="T1131" s="216" t="s">
        <v>48</v>
      </c>
      <c r="U1131" s="196" t="str">
        <f t="shared" si="403"/>
        <v>3.83 Hrs</v>
      </c>
    </row>
    <row r="1132" spans="3:21" s="185" customFormat="1" ht="20.25" customHeight="1">
      <c r="C1132" s="198"/>
      <c r="D1132" s="203">
        <f t="shared" si="396"/>
        <v>1122</v>
      </c>
      <c r="E1132" s="207" t="s">
        <v>511</v>
      </c>
      <c r="F1132" s="211">
        <f t="shared" si="414"/>
        <v>1121</v>
      </c>
      <c r="G1132" s="206" t="s">
        <v>52</v>
      </c>
      <c r="H1132" s="206"/>
      <c r="I1132" s="224">
        <v>18</v>
      </c>
      <c r="J1132" s="208" t="str">
        <f t="shared" ref="J1132:J1135" si="416">J1131</f>
        <v>11300 mm</v>
      </c>
      <c r="K1132" s="234">
        <v>1</v>
      </c>
      <c r="L1132" s="208" t="s">
        <v>81</v>
      </c>
      <c r="M1132" s="227">
        <f t="shared" si="415"/>
        <v>11.3</v>
      </c>
      <c r="N1132" s="208" t="s">
        <v>139</v>
      </c>
      <c r="O1132" s="246">
        <f>VLOOKUP(I1132,BM!$A$2:$X$104,4,FALSE)</f>
        <v>0.15</v>
      </c>
      <c r="P1132" s="208" t="s">
        <v>47</v>
      </c>
      <c r="Q1132" s="240">
        <f t="shared" si="413"/>
        <v>1.6950000000000001</v>
      </c>
      <c r="R1132" s="239">
        <v>1</v>
      </c>
      <c r="S1132" s="240">
        <f t="shared" si="406"/>
        <v>2.7</v>
      </c>
      <c r="T1132" s="216" t="s">
        <v>48</v>
      </c>
      <c r="U1132" s="196" t="str">
        <f t="shared" si="403"/>
        <v>2.7 Hrs</v>
      </c>
    </row>
    <row r="1133" spans="3:21" s="185" customFormat="1" ht="20.25" customHeight="1">
      <c r="C1133" s="198"/>
      <c r="D1133" s="203">
        <f t="shared" si="396"/>
        <v>1123</v>
      </c>
      <c r="E1133" s="207" t="s">
        <v>512</v>
      </c>
      <c r="F1133" s="211">
        <f t="shared" si="414"/>
        <v>1122</v>
      </c>
      <c r="G1133" s="206" t="s">
        <v>61</v>
      </c>
      <c r="H1133" s="206"/>
      <c r="I1133" s="224">
        <v>18</v>
      </c>
      <c r="J1133" s="208" t="str">
        <f t="shared" si="416"/>
        <v>11300 mm</v>
      </c>
      <c r="K1133" s="234">
        <v>1</v>
      </c>
      <c r="L1133" s="208" t="s">
        <v>81</v>
      </c>
      <c r="M1133" s="227">
        <f t="shared" si="415"/>
        <v>11.3</v>
      </c>
      <c r="N1133" s="208" t="s">
        <v>139</v>
      </c>
      <c r="O1133" s="246">
        <f>VLOOKUP(I1133,BM!$A$2:$X$104,5,FALSE)</f>
        <v>0.5</v>
      </c>
      <c r="P1133" s="208" t="s">
        <v>47</v>
      </c>
      <c r="Q1133" s="240">
        <f t="shared" si="413"/>
        <v>5.65</v>
      </c>
      <c r="R1133" s="239">
        <v>1</v>
      </c>
      <c r="S1133" s="240">
        <f t="shared" si="406"/>
        <v>6.65</v>
      </c>
      <c r="T1133" s="216" t="s">
        <v>48</v>
      </c>
      <c r="U1133" s="196" t="str">
        <f t="shared" si="403"/>
        <v>6.65 Hrs</v>
      </c>
    </row>
    <row r="1134" spans="3:21" s="185" customFormat="1" ht="20.25" customHeight="1">
      <c r="C1134" s="198"/>
      <c r="D1134" s="203">
        <f t="shared" si="396"/>
        <v>1124</v>
      </c>
      <c r="E1134" s="207" t="s">
        <v>513</v>
      </c>
      <c r="F1134" s="211">
        <f t="shared" si="414"/>
        <v>1123</v>
      </c>
      <c r="G1134" s="206" t="s">
        <v>224</v>
      </c>
      <c r="H1134" s="206"/>
      <c r="I1134" s="224">
        <v>18</v>
      </c>
      <c r="J1134" s="208" t="str">
        <f t="shared" si="416"/>
        <v>11300 mm</v>
      </c>
      <c r="K1134" s="234">
        <v>1</v>
      </c>
      <c r="L1134" s="208" t="s">
        <v>81</v>
      </c>
      <c r="M1134" s="227">
        <f t="shared" si="415"/>
        <v>11.3</v>
      </c>
      <c r="N1134" s="208" t="s">
        <v>139</v>
      </c>
      <c r="O1134" s="246">
        <f>VLOOKUP(I1134,BM!$A$2:$X$104,6,FALSE)</f>
        <v>1</v>
      </c>
      <c r="P1134" s="208" t="s">
        <v>47</v>
      </c>
      <c r="Q1134" s="240">
        <f t="shared" si="413"/>
        <v>11.3</v>
      </c>
      <c r="R1134" s="239">
        <v>1</v>
      </c>
      <c r="S1134" s="240">
        <f t="shared" si="406"/>
        <v>12.3</v>
      </c>
      <c r="T1134" s="216" t="s">
        <v>48</v>
      </c>
      <c r="U1134" s="196" t="str">
        <f t="shared" si="403"/>
        <v>12.3 Hrs</v>
      </c>
    </row>
    <row r="1135" spans="3:21" s="185" customFormat="1" ht="20.25" customHeight="1">
      <c r="C1135" s="198"/>
      <c r="D1135" s="203">
        <f t="shared" si="396"/>
        <v>1125</v>
      </c>
      <c r="E1135" s="207" t="s">
        <v>416</v>
      </c>
      <c r="F1135" s="211">
        <f t="shared" si="414"/>
        <v>1124</v>
      </c>
      <c r="G1135" s="206" t="s">
        <v>61</v>
      </c>
      <c r="H1135" s="206"/>
      <c r="I1135" s="224">
        <v>18</v>
      </c>
      <c r="J1135" s="208" t="str">
        <f t="shared" si="416"/>
        <v>11300 mm</v>
      </c>
      <c r="K1135" s="234">
        <v>1</v>
      </c>
      <c r="L1135" s="208" t="s">
        <v>81</v>
      </c>
      <c r="M1135" s="227">
        <f t="shared" si="415"/>
        <v>11.3</v>
      </c>
      <c r="N1135" s="208" t="s">
        <v>139</v>
      </c>
      <c r="O1135" s="246">
        <f>VLOOKUP(I1135,BM!$A$2:$X$104,6,FALSE)</f>
        <v>1</v>
      </c>
      <c r="P1135" s="208" t="s">
        <v>47</v>
      </c>
      <c r="Q1135" s="240">
        <f t="shared" si="413"/>
        <v>11.3</v>
      </c>
      <c r="R1135" s="239">
        <v>1</v>
      </c>
      <c r="S1135" s="240">
        <f t="shared" si="406"/>
        <v>12.3</v>
      </c>
      <c r="T1135" s="216" t="s">
        <v>48</v>
      </c>
      <c r="U1135" s="196" t="str">
        <f t="shared" si="403"/>
        <v>12.3 Hrs</v>
      </c>
    </row>
    <row r="1136" spans="3:21" s="185" customFormat="1" ht="20.25" customHeight="1">
      <c r="C1136" s="198">
        <f>D1136</f>
        <v>1126</v>
      </c>
      <c r="D1136" s="203">
        <f t="shared" si="396"/>
        <v>1126</v>
      </c>
      <c r="E1136" s="204" t="s">
        <v>514</v>
      </c>
      <c r="F1136" s="210">
        <f>C1129</f>
        <v>1119</v>
      </c>
      <c r="G1136" s="206"/>
      <c r="H1136" s="206"/>
      <c r="I1136" s="208"/>
      <c r="J1136" s="208"/>
      <c r="K1136" s="234"/>
      <c r="L1136" s="208"/>
      <c r="M1136" s="217"/>
      <c r="N1136" s="208"/>
      <c r="O1136" s="218"/>
      <c r="P1136" s="208"/>
      <c r="Q1136" s="240"/>
      <c r="R1136" s="239"/>
      <c r="S1136" s="240"/>
      <c r="T1136" s="216"/>
      <c r="U1136" s="196"/>
    </row>
    <row r="1137" spans="3:21" s="185" customFormat="1" ht="20.25" customHeight="1">
      <c r="C1137" s="198"/>
      <c r="D1137" s="203">
        <f t="shared" si="396"/>
        <v>1127</v>
      </c>
      <c r="E1137" s="207" t="s">
        <v>515</v>
      </c>
      <c r="F1137" s="211"/>
      <c r="G1137" s="206" t="s">
        <v>286</v>
      </c>
      <c r="H1137" s="206"/>
      <c r="I1137" s="233">
        <f>I1135</f>
        <v>18</v>
      </c>
      <c r="J1137" s="225" t="s">
        <v>516</v>
      </c>
      <c r="K1137" s="234">
        <v>1</v>
      </c>
      <c r="L1137" s="208" t="s">
        <v>81</v>
      </c>
      <c r="M1137" s="217">
        <v>1</v>
      </c>
      <c r="N1137" s="208" t="s">
        <v>139</v>
      </c>
      <c r="O1137" s="218">
        <v>3</v>
      </c>
      <c r="P1137" s="208" t="s">
        <v>112</v>
      </c>
      <c r="Q1137" s="240">
        <f t="shared" ref="Q1137:Q1140" si="417">M1137*O1137</f>
        <v>3</v>
      </c>
      <c r="R1137" s="239">
        <v>1</v>
      </c>
      <c r="S1137" s="240">
        <f t="shared" si="406"/>
        <v>4</v>
      </c>
      <c r="T1137" s="216" t="s">
        <v>48</v>
      </c>
      <c r="U1137" s="196" t="str">
        <f t="shared" si="403"/>
        <v>4 Hrs</v>
      </c>
    </row>
    <row r="1138" spans="3:21" s="185" customFormat="1" ht="20.25" customHeight="1">
      <c r="C1138" s="198"/>
      <c r="D1138" s="203">
        <f t="shared" si="396"/>
        <v>1128</v>
      </c>
      <c r="E1138" s="207" t="s">
        <v>517</v>
      </c>
      <c r="F1138" s="211">
        <f t="shared" ref="F1138:F1140" si="418">D1137</f>
        <v>1127</v>
      </c>
      <c r="G1138" s="206" t="s">
        <v>420</v>
      </c>
      <c r="H1138" s="206"/>
      <c r="I1138" s="233">
        <f t="shared" ref="I1138:J1140" si="419">I1137</f>
        <v>18</v>
      </c>
      <c r="J1138" s="211" t="str">
        <f t="shared" si="419"/>
        <v>1664 mm id</v>
      </c>
      <c r="K1138" s="234">
        <v>1</v>
      </c>
      <c r="L1138" s="208" t="s">
        <v>81</v>
      </c>
      <c r="M1138" s="227">
        <f>LEFT(J1138,SEARCH(" ",J1138,1)-1)*K1138*2/1000</f>
        <v>3.3279999999999998</v>
      </c>
      <c r="N1138" s="208" t="s">
        <v>39</v>
      </c>
      <c r="O1138" s="246">
        <f>VLOOKUP(I1138,BM!$A$2:$X$104,8,FALSE)</f>
        <v>0.3</v>
      </c>
      <c r="P1138" s="208" t="s">
        <v>112</v>
      </c>
      <c r="Q1138" s="240">
        <f t="shared" si="417"/>
        <v>0.99839999999999995</v>
      </c>
      <c r="R1138" s="239">
        <v>1</v>
      </c>
      <c r="S1138" s="240">
        <f t="shared" si="406"/>
        <v>2</v>
      </c>
      <c r="T1138" s="216" t="s">
        <v>48</v>
      </c>
      <c r="U1138" s="196" t="str">
        <f t="shared" si="403"/>
        <v>2 Hrs</v>
      </c>
    </row>
    <row r="1139" spans="3:21" s="185" customFormat="1" ht="20.25" customHeight="1">
      <c r="C1139" s="198"/>
      <c r="D1139" s="203">
        <f t="shared" si="396"/>
        <v>1129</v>
      </c>
      <c r="E1139" s="207" t="s">
        <v>518</v>
      </c>
      <c r="F1139" s="211">
        <f t="shared" si="418"/>
        <v>1128</v>
      </c>
      <c r="G1139" s="206" t="s">
        <v>348</v>
      </c>
      <c r="H1139" s="206"/>
      <c r="I1139" s="233">
        <f t="shared" si="419"/>
        <v>18</v>
      </c>
      <c r="J1139" s="211" t="str">
        <f t="shared" si="419"/>
        <v>1664 mm id</v>
      </c>
      <c r="K1139" s="234">
        <v>1</v>
      </c>
      <c r="L1139" s="208" t="s">
        <v>81</v>
      </c>
      <c r="M1139" s="227">
        <f>LEFT(J1139,SEARCH(" ",J1139,1)-1)*K1139*2/1000</f>
        <v>3.3279999999999998</v>
      </c>
      <c r="N1139" s="208" t="s">
        <v>139</v>
      </c>
      <c r="O1139" s="246">
        <f>VLOOKUP(I1139,BM!$A$2:$X$104,9,FALSE)</f>
        <v>1</v>
      </c>
      <c r="P1139" s="208" t="s">
        <v>112</v>
      </c>
      <c r="Q1139" s="240">
        <f t="shared" si="417"/>
        <v>3.3279999999999998</v>
      </c>
      <c r="R1139" s="239">
        <v>1</v>
      </c>
      <c r="S1139" s="240">
        <f t="shared" si="406"/>
        <v>4.33</v>
      </c>
      <c r="T1139" s="216" t="s">
        <v>48</v>
      </c>
      <c r="U1139" s="196" t="str">
        <f t="shared" si="403"/>
        <v>4.33 Hrs</v>
      </c>
    </row>
    <row r="1140" spans="3:21" s="185" customFormat="1" ht="20.25" customHeight="1">
      <c r="C1140" s="198"/>
      <c r="D1140" s="203">
        <f t="shared" si="396"/>
        <v>1130</v>
      </c>
      <c r="E1140" s="207" t="s">
        <v>519</v>
      </c>
      <c r="F1140" s="211">
        <f t="shared" si="418"/>
        <v>1129</v>
      </c>
      <c r="G1140" s="206" t="s">
        <v>286</v>
      </c>
      <c r="H1140" s="206"/>
      <c r="I1140" s="233">
        <f t="shared" si="419"/>
        <v>18</v>
      </c>
      <c r="J1140" s="211" t="str">
        <f t="shared" si="419"/>
        <v>1664 mm id</v>
      </c>
      <c r="K1140" s="234">
        <v>1</v>
      </c>
      <c r="L1140" s="208" t="s">
        <v>81</v>
      </c>
      <c r="M1140" s="227">
        <v>1</v>
      </c>
      <c r="N1140" s="208" t="s">
        <v>39</v>
      </c>
      <c r="O1140" s="218">
        <v>3</v>
      </c>
      <c r="P1140" s="208" t="s">
        <v>112</v>
      </c>
      <c r="Q1140" s="240">
        <f t="shared" si="417"/>
        <v>3</v>
      </c>
      <c r="R1140" s="239">
        <v>1</v>
      </c>
      <c r="S1140" s="240">
        <f t="shared" si="406"/>
        <v>4</v>
      </c>
      <c r="T1140" s="216" t="s">
        <v>48</v>
      </c>
      <c r="U1140" s="196" t="str">
        <f t="shared" si="403"/>
        <v>4 Hrs</v>
      </c>
    </row>
    <row r="1141" spans="3:21" s="185" customFormat="1" ht="20.25" customHeight="1">
      <c r="C1141" s="198">
        <f>D1141</f>
        <v>1131</v>
      </c>
      <c r="D1141" s="203">
        <f t="shared" si="396"/>
        <v>1131</v>
      </c>
      <c r="E1141" s="204" t="s">
        <v>520</v>
      </c>
      <c r="F1141" s="210">
        <f>C1136</f>
        <v>1126</v>
      </c>
      <c r="G1141" s="206"/>
      <c r="H1141" s="206"/>
      <c r="I1141" s="208"/>
      <c r="J1141" s="208"/>
      <c r="K1141" s="234"/>
      <c r="L1141" s="208"/>
      <c r="M1141" s="217"/>
      <c r="N1141" s="208"/>
      <c r="O1141" s="218"/>
      <c r="P1141" s="208"/>
      <c r="Q1141" s="240"/>
      <c r="R1141" s="239"/>
      <c r="S1141" s="240"/>
      <c r="T1141" s="216"/>
      <c r="U1141" s="196"/>
    </row>
    <row r="1142" spans="3:21" s="185" customFormat="1" ht="20.25" customHeight="1">
      <c r="C1142" s="198"/>
      <c r="D1142" s="203">
        <f t="shared" si="396"/>
        <v>1132</v>
      </c>
      <c r="E1142" s="207" t="s">
        <v>521</v>
      </c>
      <c r="F1142" s="211"/>
      <c r="G1142" s="206" t="s">
        <v>348</v>
      </c>
      <c r="H1142" s="206"/>
      <c r="I1142" s="233">
        <f>I1140</f>
        <v>18</v>
      </c>
      <c r="J1142" s="211" t="str">
        <f>J1140</f>
        <v>1664 mm id</v>
      </c>
      <c r="K1142" s="234">
        <v>1</v>
      </c>
      <c r="L1142" s="208" t="s">
        <v>81</v>
      </c>
      <c r="M1142" s="227">
        <f t="shared" ref="M1142" si="420">LEFT(J1142,SEARCH(" ",J1142,1)-1)*K1142*2/1000</f>
        <v>3.3279999999999998</v>
      </c>
      <c r="N1142" s="208" t="s">
        <v>139</v>
      </c>
      <c r="O1142" s="246">
        <f>VLOOKUP(I1142,BM!$A$2:$X$104,9,FALSE)</f>
        <v>1</v>
      </c>
      <c r="P1142" s="208" t="s">
        <v>112</v>
      </c>
      <c r="Q1142" s="240">
        <f t="shared" ref="Q1142:Q1143" si="421">M1142*O1142</f>
        <v>3.3279999999999998</v>
      </c>
      <c r="R1142" s="239">
        <v>1</v>
      </c>
      <c r="S1142" s="240">
        <f t="shared" si="406"/>
        <v>4.33</v>
      </c>
      <c r="T1142" s="216" t="s">
        <v>48</v>
      </c>
      <c r="U1142" s="196" t="str">
        <f t="shared" si="403"/>
        <v>4.33 Hrs</v>
      </c>
    </row>
    <row r="1143" spans="3:21" s="185" customFormat="1" ht="20.25" customHeight="1">
      <c r="C1143" s="198"/>
      <c r="D1143" s="203">
        <f t="shared" si="396"/>
        <v>1133</v>
      </c>
      <c r="E1143" s="207" t="s">
        <v>522</v>
      </c>
      <c r="F1143" s="211">
        <f t="shared" ref="F1143" si="422">D1142</f>
        <v>1132</v>
      </c>
      <c r="G1143" s="206" t="s">
        <v>111</v>
      </c>
      <c r="H1143" s="206"/>
      <c r="I1143" s="233">
        <f>I1142</f>
        <v>18</v>
      </c>
      <c r="J1143" s="211" t="str">
        <f>J1140</f>
        <v>1664 mm id</v>
      </c>
      <c r="K1143" s="234">
        <v>1</v>
      </c>
      <c r="L1143" s="208" t="s">
        <v>81</v>
      </c>
      <c r="M1143" s="227">
        <f>LEFT(J1143,SEARCH(" ",J1143,1)-1)*K1143/1000</f>
        <v>1.6639999999999999</v>
      </c>
      <c r="N1143" s="208" t="s">
        <v>139</v>
      </c>
      <c r="O1143" s="246">
        <f>VLOOKUP(I1143,BM!$A$2:$X$104,10,FALSE)</f>
        <v>1</v>
      </c>
      <c r="P1143" s="208" t="s">
        <v>112</v>
      </c>
      <c r="Q1143" s="240">
        <f t="shared" si="421"/>
        <v>1.6639999999999999</v>
      </c>
      <c r="R1143" s="239">
        <v>1</v>
      </c>
      <c r="S1143" s="240">
        <f t="shared" si="406"/>
        <v>2.66</v>
      </c>
      <c r="T1143" s="216" t="s">
        <v>48</v>
      </c>
      <c r="U1143" s="196" t="str">
        <f t="shared" si="403"/>
        <v>2.66 Hrs</v>
      </c>
    </row>
    <row r="1144" spans="3:21" s="185" customFormat="1" ht="20.25" customHeight="1">
      <c r="C1144" s="198">
        <f>D1144</f>
        <v>1134</v>
      </c>
      <c r="D1144" s="203">
        <f t="shared" si="396"/>
        <v>1134</v>
      </c>
      <c r="E1144" s="204" t="s">
        <v>523</v>
      </c>
      <c r="F1144" s="210">
        <f>C1141</f>
        <v>1131</v>
      </c>
      <c r="G1144" s="206"/>
      <c r="H1144" s="206"/>
      <c r="I1144" s="208"/>
      <c r="J1144" s="208"/>
      <c r="K1144" s="234"/>
      <c r="L1144" s="208"/>
      <c r="M1144" s="217"/>
      <c r="N1144" s="208"/>
      <c r="O1144" s="218"/>
      <c r="P1144" s="208"/>
      <c r="Q1144" s="240"/>
      <c r="R1144" s="239"/>
      <c r="S1144" s="240"/>
      <c r="T1144" s="216"/>
      <c r="U1144" s="196"/>
    </row>
    <row r="1145" spans="3:21" s="185" customFormat="1" ht="20.25" customHeight="1">
      <c r="C1145" s="198"/>
      <c r="D1145" s="203">
        <f t="shared" si="396"/>
        <v>1135</v>
      </c>
      <c r="E1145" s="207" t="s">
        <v>524</v>
      </c>
      <c r="F1145" s="211"/>
      <c r="G1145" s="206" t="s">
        <v>201</v>
      </c>
      <c r="H1145" s="206"/>
      <c r="I1145" s="233">
        <f>I1143</f>
        <v>18</v>
      </c>
      <c r="J1145" s="211" t="str">
        <f t="shared" ref="J1145" si="423">J1143</f>
        <v>1664 mm id</v>
      </c>
      <c r="K1145" s="234">
        <v>1</v>
      </c>
      <c r="L1145" s="208" t="s">
        <v>81</v>
      </c>
      <c r="M1145" s="217">
        <v>1</v>
      </c>
      <c r="N1145" s="208" t="s">
        <v>39</v>
      </c>
      <c r="O1145" s="218">
        <v>1</v>
      </c>
      <c r="P1145" s="208" t="s">
        <v>112</v>
      </c>
      <c r="Q1145" s="240">
        <f t="shared" ref="Q1145:Q1150" si="424">M1145*O1145</f>
        <v>1</v>
      </c>
      <c r="R1145" s="239">
        <v>1</v>
      </c>
      <c r="S1145" s="240">
        <f t="shared" si="406"/>
        <v>2</v>
      </c>
      <c r="T1145" s="216" t="s">
        <v>48</v>
      </c>
      <c r="U1145" s="196" t="str">
        <f t="shared" si="403"/>
        <v>2 Hrs</v>
      </c>
    </row>
    <row r="1146" spans="3:21" s="185" customFormat="1" ht="20.25" customHeight="1">
      <c r="C1146" s="198"/>
      <c r="D1146" s="203">
        <f t="shared" si="396"/>
        <v>1136</v>
      </c>
      <c r="E1146" s="207" t="s">
        <v>525</v>
      </c>
      <c r="F1146" s="211">
        <f t="shared" ref="F1146:F1150" si="425">D1145</f>
        <v>1135</v>
      </c>
      <c r="G1146" s="206" t="s">
        <v>115</v>
      </c>
      <c r="H1146" s="206"/>
      <c r="I1146" s="224">
        <v>12</v>
      </c>
      <c r="J1146" s="211" t="str">
        <f t="shared" ref="J1146:J1150" si="426">J1145</f>
        <v>1664 mm id</v>
      </c>
      <c r="K1146" s="234">
        <v>1</v>
      </c>
      <c r="L1146" s="208" t="s">
        <v>81</v>
      </c>
      <c r="M1146" s="227">
        <f t="shared" ref="M1146:M1149" si="427">LEFT(J1146,SEARCH(" ",J1146,1)-1)*K1146/1000</f>
        <v>1.6639999999999999</v>
      </c>
      <c r="N1146" s="208" t="s">
        <v>139</v>
      </c>
      <c r="O1146" s="246">
        <f>VLOOKUP(I1146,BM!$A$2:$X$104,12,FALSE)</f>
        <v>2.5</v>
      </c>
      <c r="P1146" s="208" t="s">
        <v>112</v>
      </c>
      <c r="Q1146" s="240">
        <f t="shared" si="424"/>
        <v>4.16</v>
      </c>
      <c r="R1146" s="239">
        <v>1</v>
      </c>
      <c r="S1146" s="240">
        <f t="shared" si="406"/>
        <v>5.16</v>
      </c>
      <c r="T1146" s="216" t="s">
        <v>48</v>
      </c>
      <c r="U1146" s="196" t="str">
        <f t="shared" si="403"/>
        <v>5.16 Hrs</v>
      </c>
    </row>
    <row r="1147" spans="3:21" s="185" customFormat="1" ht="20.25" customHeight="1">
      <c r="C1147" s="198"/>
      <c r="D1147" s="203">
        <f t="shared" si="396"/>
        <v>1137</v>
      </c>
      <c r="E1147" s="207" t="s">
        <v>526</v>
      </c>
      <c r="F1147" s="211">
        <f t="shared" si="425"/>
        <v>1136</v>
      </c>
      <c r="G1147" s="206" t="s">
        <v>121</v>
      </c>
      <c r="H1147" s="206"/>
      <c r="I1147" s="224">
        <v>18</v>
      </c>
      <c r="J1147" s="211" t="str">
        <f t="shared" si="426"/>
        <v>1664 mm id</v>
      </c>
      <c r="K1147" s="234">
        <v>1</v>
      </c>
      <c r="L1147" s="208" t="s">
        <v>81</v>
      </c>
      <c r="M1147" s="227">
        <f t="shared" si="427"/>
        <v>1.6639999999999999</v>
      </c>
      <c r="N1147" s="208" t="s">
        <v>139</v>
      </c>
      <c r="O1147" s="246">
        <f>VLOOKUP(I1147,BM!$A$2:$X$104,18,FALSE)</f>
        <v>1</v>
      </c>
      <c r="P1147" s="208" t="s">
        <v>112</v>
      </c>
      <c r="Q1147" s="240">
        <f t="shared" si="424"/>
        <v>1.6639999999999999</v>
      </c>
      <c r="R1147" s="239">
        <v>1</v>
      </c>
      <c r="S1147" s="240">
        <f t="shared" si="406"/>
        <v>2.66</v>
      </c>
      <c r="T1147" s="216" t="s">
        <v>48</v>
      </c>
      <c r="U1147" s="196" t="str">
        <f t="shared" si="403"/>
        <v>2.66 Hrs</v>
      </c>
    </row>
    <row r="1148" spans="3:21" s="185" customFormat="1" ht="20.25" customHeight="1">
      <c r="C1148" s="198"/>
      <c r="D1148" s="203">
        <f t="shared" si="396"/>
        <v>1138</v>
      </c>
      <c r="E1148" s="207" t="s">
        <v>527</v>
      </c>
      <c r="F1148" s="211">
        <f t="shared" si="425"/>
        <v>1137</v>
      </c>
      <c r="G1148" s="206" t="s">
        <v>115</v>
      </c>
      <c r="H1148" s="206"/>
      <c r="I1148" s="224">
        <v>6</v>
      </c>
      <c r="J1148" s="211" t="str">
        <f t="shared" si="426"/>
        <v>1664 mm id</v>
      </c>
      <c r="K1148" s="234">
        <v>1</v>
      </c>
      <c r="L1148" s="208" t="s">
        <v>81</v>
      </c>
      <c r="M1148" s="227">
        <f t="shared" si="427"/>
        <v>1.6639999999999999</v>
      </c>
      <c r="N1148" s="208" t="s">
        <v>139</v>
      </c>
      <c r="O1148" s="246">
        <f>VLOOKUP(I1148,BM!$A$2:$X$104,12,FALSE)</f>
        <v>0.9</v>
      </c>
      <c r="P1148" s="208" t="s">
        <v>112</v>
      </c>
      <c r="Q1148" s="240">
        <f t="shared" si="424"/>
        <v>1.4976</v>
      </c>
      <c r="R1148" s="239">
        <v>1</v>
      </c>
      <c r="S1148" s="240">
        <f t="shared" si="406"/>
        <v>2.5</v>
      </c>
      <c r="T1148" s="216" t="s">
        <v>48</v>
      </c>
      <c r="U1148" s="196" t="str">
        <f t="shared" si="403"/>
        <v>2.5 Hrs</v>
      </c>
    </row>
    <row r="1149" spans="3:21" s="185" customFormat="1" ht="20.25" customHeight="1">
      <c r="C1149" s="198"/>
      <c r="D1149" s="203">
        <f t="shared" si="396"/>
        <v>1139</v>
      </c>
      <c r="E1149" s="207" t="s">
        <v>528</v>
      </c>
      <c r="F1149" s="211">
        <f t="shared" si="425"/>
        <v>1138</v>
      </c>
      <c r="G1149" s="206" t="s">
        <v>61</v>
      </c>
      <c r="H1149" s="206"/>
      <c r="I1149" s="224">
        <v>6</v>
      </c>
      <c r="J1149" s="211" t="str">
        <f t="shared" si="426"/>
        <v>1664 mm id</v>
      </c>
      <c r="K1149" s="234">
        <v>1</v>
      </c>
      <c r="L1149" s="208" t="s">
        <v>81</v>
      </c>
      <c r="M1149" s="227">
        <f t="shared" si="427"/>
        <v>1.6639999999999999</v>
      </c>
      <c r="N1149" s="208" t="s">
        <v>139</v>
      </c>
      <c r="O1149" s="246">
        <f>VLOOKUP(I1149,BM!$A$2:$X$104,20,FALSE)</f>
        <v>0.5</v>
      </c>
      <c r="P1149" s="208" t="s">
        <v>112</v>
      </c>
      <c r="Q1149" s="240">
        <f t="shared" si="424"/>
        <v>0.83199999999999996</v>
      </c>
      <c r="R1149" s="239">
        <v>1</v>
      </c>
      <c r="S1149" s="240">
        <f t="shared" si="406"/>
        <v>1.83</v>
      </c>
      <c r="T1149" s="216" t="s">
        <v>48</v>
      </c>
      <c r="U1149" s="196" t="str">
        <f t="shared" si="403"/>
        <v>1.83 Hrs</v>
      </c>
    </row>
    <row r="1150" spans="3:21" s="185" customFormat="1" ht="20.25" customHeight="1">
      <c r="C1150" s="198"/>
      <c r="D1150" s="203">
        <f t="shared" si="396"/>
        <v>1140</v>
      </c>
      <c r="E1150" s="207" t="s">
        <v>529</v>
      </c>
      <c r="F1150" s="211">
        <f t="shared" si="425"/>
        <v>1139</v>
      </c>
      <c r="G1150" s="206" t="s">
        <v>286</v>
      </c>
      <c r="H1150" s="206"/>
      <c r="I1150" s="224">
        <v>18</v>
      </c>
      <c r="J1150" s="211" t="str">
        <f t="shared" si="426"/>
        <v>1664 mm id</v>
      </c>
      <c r="K1150" s="234">
        <v>1</v>
      </c>
      <c r="L1150" s="208" t="s">
        <v>81</v>
      </c>
      <c r="M1150" s="217">
        <v>1</v>
      </c>
      <c r="N1150" s="208" t="s">
        <v>139</v>
      </c>
      <c r="O1150" s="218">
        <v>3</v>
      </c>
      <c r="P1150" s="208" t="s">
        <v>112</v>
      </c>
      <c r="Q1150" s="240">
        <f t="shared" si="424"/>
        <v>3</v>
      </c>
      <c r="R1150" s="239">
        <v>1</v>
      </c>
      <c r="S1150" s="240">
        <f t="shared" si="406"/>
        <v>4</v>
      </c>
      <c r="T1150" s="216" t="s">
        <v>48</v>
      </c>
      <c r="U1150" s="196" t="str">
        <f t="shared" si="403"/>
        <v>4 Hrs</v>
      </c>
    </row>
    <row r="1151" spans="3:21" s="185" customFormat="1" ht="20.25" customHeight="1">
      <c r="C1151" s="198">
        <f>D1151</f>
        <v>1141</v>
      </c>
      <c r="D1151" s="203">
        <f t="shared" si="396"/>
        <v>1141</v>
      </c>
      <c r="E1151" s="204" t="s">
        <v>530</v>
      </c>
      <c r="F1151" s="210">
        <f>C1144</f>
        <v>1134</v>
      </c>
      <c r="G1151" s="206"/>
      <c r="H1151" s="206"/>
      <c r="I1151" s="208"/>
      <c r="J1151" s="208"/>
      <c r="K1151" s="234"/>
      <c r="L1151" s="208"/>
      <c r="M1151" s="217"/>
      <c r="N1151" s="208"/>
      <c r="O1151" s="218"/>
      <c r="P1151" s="208"/>
      <c r="Q1151" s="240"/>
      <c r="R1151" s="239"/>
      <c r="S1151" s="240"/>
      <c r="T1151" s="216"/>
      <c r="U1151" s="196"/>
    </row>
    <row r="1152" spans="3:21" s="185" customFormat="1" ht="20.25" customHeight="1">
      <c r="C1152" s="198"/>
      <c r="D1152" s="203">
        <f t="shared" si="396"/>
        <v>1142</v>
      </c>
      <c r="E1152" s="207" t="s">
        <v>531</v>
      </c>
      <c r="F1152" s="211"/>
      <c r="G1152" s="206" t="s">
        <v>312</v>
      </c>
      <c r="H1152" s="206"/>
      <c r="I1152" s="233">
        <f>I1150</f>
        <v>18</v>
      </c>
      <c r="J1152" s="211" t="str">
        <f t="shared" ref="J1152:M1152" si="428">J1150</f>
        <v>1664 mm id</v>
      </c>
      <c r="K1152" s="225">
        <f t="shared" si="428"/>
        <v>1</v>
      </c>
      <c r="L1152" s="211" t="str">
        <f t="shared" si="428"/>
        <v>Nos</v>
      </c>
      <c r="M1152" s="211">
        <f t="shared" si="428"/>
        <v>1</v>
      </c>
      <c r="N1152" s="208" t="s">
        <v>39</v>
      </c>
      <c r="O1152" s="218">
        <v>1</v>
      </c>
      <c r="P1152" s="208" t="s">
        <v>41</v>
      </c>
      <c r="Q1152" s="240">
        <f t="shared" ref="Q1152" si="429">M1152*O1152</f>
        <v>1</v>
      </c>
      <c r="R1152" s="211"/>
      <c r="S1152" s="240">
        <f t="shared" si="406"/>
        <v>1</v>
      </c>
      <c r="T1152" s="216" t="s">
        <v>42</v>
      </c>
      <c r="U1152" s="196" t="str">
        <f t="shared" si="403"/>
        <v>1 Days</v>
      </c>
    </row>
    <row r="1153" spans="3:21" s="185" customFormat="1" ht="20.25" customHeight="1">
      <c r="C1153" s="198">
        <f>D1153</f>
        <v>1143</v>
      </c>
      <c r="D1153" s="203">
        <f t="shared" si="396"/>
        <v>1143</v>
      </c>
      <c r="E1153" s="204" t="s">
        <v>532</v>
      </c>
      <c r="F1153" s="210">
        <f>C1151</f>
        <v>1141</v>
      </c>
      <c r="G1153" s="206"/>
      <c r="H1153" s="206"/>
      <c r="I1153" s="208"/>
      <c r="J1153" s="208"/>
      <c r="K1153" s="234"/>
      <c r="L1153" s="208"/>
      <c r="M1153" s="217"/>
      <c r="N1153" s="208"/>
      <c r="O1153" s="218"/>
      <c r="P1153" s="208"/>
      <c r="Q1153" s="240"/>
      <c r="R1153" s="239"/>
      <c r="S1153" s="240"/>
      <c r="T1153" s="216"/>
      <c r="U1153" s="196"/>
    </row>
    <row r="1154" spans="3:21" s="185" customFormat="1" ht="20.25" customHeight="1">
      <c r="C1154" s="198"/>
      <c r="D1154" s="203">
        <f t="shared" si="396"/>
        <v>1144</v>
      </c>
      <c r="E1154" s="207" t="s">
        <v>533</v>
      </c>
      <c r="F1154" s="211"/>
      <c r="G1154" s="206" t="s">
        <v>348</v>
      </c>
      <c r="H1154" s="206"/>
      <c r="I1154" s="224">
        <v>18</v>
      </c>
      <c r="J1154" s="211" t="str">
        <f>J1152</f>
        <v>1664 mm id</v>
      </c>
      <c r="K1154" s="234">
        <v>1</v>
      </c>
      <c r="L1154" s="208" t="s">
        <v>81</v>
      </c>
      <c r="M1154" s="227">
        <f>LEFT(J1154,SEARCH(" ",J1154,1)-1)*K1154*3.142/1000</f>
        <v>5.2282879999999992</v>
      </c>
      <c r="N1154" s="208" t="s">
        <v>139</v>
      </c>
      <c r="O1154" s="246">
        <f>VLOOKUP(I1154,BM!$A$2:$X$104,15,FALSE)</f>
        <v>1</v>
      </c>
      <c r="P1154" s="208" t="s">
        <v>112</v>
      </c>
      <c r="Q1154" s="240">
        <f t="shared" ref="Q1154:Q1156" si="430">M1154*O1154</f>
        <v>5.2282879999999992</v>
      </c>
      <c r="R1154" s="239">
        <v>1</v>
      </c>
      <c r="S1154" s="240">
        <f t="shared" si="406"/>
        <v>6.23</v>
      </c>
      <c r="T1154" s="216" t="s">
        <v>48</v>
      </c>
      <c r="U1154" s="196" t="str">
        <f t="shared" si="403"/>
        <v>6.23 Hrs</v>
      </c>
    </row>
    <row r="1155" spans="3:21" s="185" customFormat="1" ht="20.25" customHeight="1">
      <c r="C1155" s="198"/>
      <c r="D1155" s="203">
        <f t="shared" si="396"/>
        <v>1145</v>
      </c>
      <c r="E1155" s="207" t="s">
        <v>534</v>
      </c>
      <c r="F1155" s="211">
        <f t="shared" ref="F1155:F1156" si="431">D1154</f>
        <v>1144</v>
      </c>
      <c r="G1155" s="206" t="s">
        <v>111</v>
      </c>
      <c r="H1155" s="206"/>
      <c r="I1155" s="224">
        <v>18</v>
      </c>
      <c r="J1155" s="211" t="str">
        <f>J1154</f>
        <v>1664 mm id</v>
      </c>
      <c r="K1155" s="234">
        <v>1</v>
      </c>
      <c r="L1155" s="208" t="s">
        <v>81</v>
      </c>
      <c r="M1155" s="227">
        <f>LEFT(J1155,SEARCH(" ",J1155,1)-1)*K1155*3.142/1000</f>
        <v>5.2282879999999992</v>
      </c>
      <c r="N1155" s="208" t="s">
        <v>39</v>
      </c>
      <c r="O1155" s="246">
        <f>VLOOKUP(I1155,BM!$A$2:$X$104,16,FALSE)</f>
        <v>1</v>
      </c>
      <c r="P1155" s="208" t="s">
        <v>112</v>
      </c>
      <c r="Q1155" s="240">
        <f t="shared" si="430"/>
        <v>5.2282879999999992</v>
      </c>
      <c r="R1155" s="239">
        <v>1</v>
      </c>
      <c r="S1155" s="240">
        <f t="shared" si="406"/>
        <v>6.23</v>
      </c>
      <c r="T1155" s="216" t="s">
        <v>48</v>
      </c>
      <c r="U1155" s="196" t="str">
        <f t="shared" si="403"/>
        <v>6.23 Hrs</v>
      </c>
    </row>
    <row r="1156" spans="3:21" s="185" customFormat="1" ht="20.25" customHeight="1">
      <c r="C1156" s="198"/>
      <c r="D1156" s="203">
        <f t="shared" ref="D1156:D1219" si="432">D1155+1</f>
        <v>1146</v>
      </c>
      <c r="E1156" s="207" t="s">
        <v>535</v>
      </c>
      <c r="F1156" s="211">
        <f t="shared" si="431"/>
        <v>1145</v>
      </c>
      <c r="G1156" s="206" t="s">
        <v>44</v>
      </c>
      <c r="H1156" s="206"/>
      <c r="I1156" s="224">
        <v>18</v>
      </c>
      <c r="J1156" s="211" t="str">
        <f>J1155</f>
        <v>1664 mm id</v>
      </c>
      <c r="K1156" s="234">
        <v>1</v>
      </c>
      <c r="L1156" s="208" t="s">
        <v>81</v>
      </c>
      <c r="M1156" s="227">
        <f t="shared" ref="M1156" si="433">LEFT(J1156,SEARCH(" ",J1156,1)-1)*K1156*3.142/1000</f>
        <v>5.2282879999999992</v>
      </c>
      <c r="N1156" s="208" t="s">
        <v>50</v>
      </c>
      <c r="O1156" s="218">
        <v>0.25</v>
      </c>
      <c r="P1156" s="208" t="s">
        <v>112</v>
      </c>
      <c r="Q1156" s="240">
        <f t="shared" si="430"/>
        <v>1.3070719999999998</v>
      </c>
      <c r="R1156" s="239">
        <v>1</v>
      </c>
      <c r="S1156" s="240">
        <f t="shared" si="406"/>
        <v>2.31</v>
      </c>
      <c r="T1156" s="216" t="s">
        <v>48</v>
      </c>
      <c r="U1156" s="196" t="str">
        <f t="shared" si="403"/>
        <v>2.31 Hrs</v>
      </c>
    </row>
    <row r="1157" spans="3:21" s="185" customFormat="1" ht="20.25" customHeight="1">
      <c r="C1157" s="198">
        <f>D1157</f>
        <v>1147</v>
      </c>
      <c r="D1157" s="203">
        <f t="shared" si="432"/>
        <v>1147</v>
      </c>
      <c r="E1157" s="204" t="s">
        <v>536</v>
      </c>
      <c r="F1157" s="210">
        <f>C1153</f>
        <v>1143</v>
      </c>
      <c r="G1157" s="206"/>
      <c r="H1157" s="206"/>
      <c r="I1157" s="208"/>
      <c r="J1157" s="208"/>
      <c r="K1157" s="234"/>
      <c r="L1157" s="208"/>
      <c r="M1157" s="217"/>
      <c r="N1157" s="208"/>
      <c r="O1157" s="218"/>
      <c r="P1157" s="208"/>
      <c r="Q1157" s="240"/>
      <c r="R1157" s="239"/>
      <c r="S1157" s="240"/>
      <c r="T1157" s="216"/>
      <c r="U1157" s="196"/>
    </row>
    <row r="1158" spans="3:21" s="185" customFormat="1" ht="20.25" customHeight="1">
      <c r="C1158" s="198"/>
      <c r="D1158" s="203">
        <f t="shared" si="432"/>
        <v>1148</v>
      </c>
      <c r="E1158" s="207" t="s">
        <v>537</v>
      </c>
      <c r="F1158" s="211"/>
      <c r="G1158" s="206" t="s">
        <v>201</v>
      </c>
      <c r="H1158" s="206"/>
      <c r="I1158" s="224">
        <v>12</v>
      </c>
      <c r="J1158" s="211" t="str">
        <f>J1156</f>
        <v>1664 mm id</v>
      </c>
      <c r="K1158" s="234">
        <v>1</v>
      </c>
      <c r="L1158" s="208" t="s">
        <v>81</v>
      </c>
      <c r="M1158" s="217">
        <v>1</v>
      </c>
      <c r="N1158" s="208" t="s">
        <v>249</v>
      </c>
      <c r="O1158" s="218">
        <v>1</v>
      </c>
      <c r="P1158" s="208" t="s">
        <v>112</v>
      </c>
      <c r="Q1158" s="240">
        <f t="shared" ref="Q1158:Q1167" si="434">M1158*O1158</f>
        <v>1</v>
      </c>
      <c r="R1158" s="239">
        <v>1</v>
      </c>
      <c r="S1158" s="240">
        <f t="shared" si="406"/>
        <v>2</v>
      </c>
      <c r="T1158" s="216" t="s">
        <v>48</v>
      </c>
      <c r="U1158" s="196" t="str">
        <f t="shared" si="403"/>
        <v>2 Hrs</v>
      </c>
    </row>
    <row r="1159" spans="3:21" s="185" customFormat="1" ht="20.25" customHeight="1">
      <c r="C1159" s="198"/>
      <c r="D1159" s="203">
        <f t="shared" si="432"/>
        <v>1149</v>
      </c>
      <c r="E1159" s="207" t="s">
        <v>538</v>
      </c>
      <c r="F1159" s="211">
        <f t="shared" ref="F1159:F1162" si="435">D1158</f>
        <v>1148</v>
      </c>
      <c r="G1159" s="206" t="s">
        <v>115</v>
      </c>
      <c r="H1159" s="206"/>
      <c r="I1159" s="224">
        <v>12</v>
      </c>
      <c r="J1159" s="211" t="str">
        <f>J1158</f>
        <v>1664 mm id</v>
      </c>
      <c r="K1159" s="234">
        <v>1</v>
      </c>
      <c r="L1159" s="208" t="s">
        <v>81</v>
      </c>
      <c r="M1159" s="227">
        <f t="shared" ref="M1159:M1162" si="436">LEFT(J1159,SEARCH(" ",J1159,1)-1)*K1159*3.142/1000</f>
        <v>5.2282879999999992</v>
      </c>
      <c r="N1159" s="208" t="s">
        <v>249</v>
      </c>
      <c r="O1159" s="246">
        <f>VLOOKUP(I1159,BM!$A$2:$X$104,17,FALSE)</f>
        <v>2.5</v>
      </c>
      <c r="P1159" s="208" t="s">
        <v>112</v>
      </c>
      <c r="Q1159" s="240">
        <f t="shared" si="434"/>
        <v>13.070719999999998</v>
      </c>
      <c r="R1159" s="239">
        <v>1</v>
      </c>
      <c r="S1159" s="240">
        <f t="shared" si="406"/>
        <v>14.07</v>
      </c>
      <c r="T1159" s="216" t="s">
        <v>48</v>
      </c>
      <c r="U1159" s="196" t="str">
        <f t="shared" si="403"/>
        <v>14.07 Hrs</v>
      </c>
    </row>
    <row r="1160" spans="3:21" s="185" customFormat="1" ht="20.25" customHeight="1">
      <c r="C1160" s="198"/>
      <c r="D1160" s="203">
        <f t="shared" si="432"/>
        <v>1150</v>
      </c>
      <c r="E1160" s="207" t="s">
        <v>539</v>
      </c>
      <c r="F1160" s="211">
        <f t="shared" si="435"/>
        <v>1149</v>
      </c>
      <c r="G1160" s="206" t="s">
        <v>61</v>
      </c>
      <c r="H1160" s="206"/>
      <c r="I1160" s="224">
        <v>18</v>
      </c>
      <c r="J1160" s="211" t="str">
        <f t="shared" ref="J1160:J1162" si="437">J1158</f>
        <v>1664 mm id</v>
      </c>
      <c r="K1160" s="234">
        <v>1</v>
      </c>
      <c r="L1160" s="208" t="s">
        <v>81</v>
      </c>
      <c r="M1160" s="227">
        <f t="shared" si="436"/>
        <v>5.2282879999999992</v>
      </c>
      <c r="N1160" s="208" t="s">
        <v>249</v>
      </c>
      <c r="O1160" s="246">
        <f>VLOOKUP(I1160,BM!$A$2:$X$104,18,FALSE)</f>
        <v>1</v>
      </c>
      <c r="P1160" s="208" t="s">
        <v>112</v>
      </c>
      <c r="Q1160" s="240">
        <f t="shared" si="434"/>
        <v>5.2282879999999992</v>
      </c>
      <c r="R1160" s="239">
        <v>1</v>
      </c>
      <c r="S1160" s="240">
        <f t="shared" si="406"/>
        <v>6.23</v>
      </c>
      <c r="T1160" s="216" t="s">
        <v>48</v>
      </c>
      <c r="U1160" s="196" t="str">
        <f t="shared" si="403"/>
        <v>6.23 Hrs</v>
      </c>
    </row>
    <row r="1161" spans="3:21" s="185" customFormat="1" ht="20.25" customHeight="1">
      <c r="C1161" s="198"/>
      <c r="D1161" s="203">
        <f t="shared" si="432"/>
        <v>1151</v>
      </c>
      <c r="E1161" s="207" t="s">
        <v>540</v>
      </c>
      <c r="F1161" s="211">
        <f t="shared" si="435"/>
        <v>1150</v>
      </c>
      <c r="G1161" s="206" t="s">
        <v>115</v>
      </c>
      <c r="H1161" s="206"/>
      <c r="I1161" s="224">
        <v>6</v>
      </c>
      <c r="J1161" s="211" t="str">
        <f t="shared" si="437"/>
        <v>1664 mm id</v>
      </c>
      <c r="K1161" s="234">
        <v>1</v>
      </c>
      <c r="L1161" s="208" t="s">
        <v>81</v>
      </c>
      <c r="M1161" s="227">
        <f t="shared" si="436"/>
        <v>5.2282879999999992</v>
      </c>
      <c r="N1161" s="208" t="s">
        <v>249</v>
      </c>
      <c r="O1161" s="246">
        <f>VLOOKUP(I1161,BM!$A$2:$X$104,17,FALSE)</f>
        <v>0.9</v>
      </c>
      <c r="P1161" s="208" t="s">
        <v>112</v>
      </c>
      <c r="Q1161" s="240">
        <f t="shared" si="434"/>
        <v>4.7054591999999991</v>
      </c>
      <c r="R1161" s="239">
        <v>1</v>
      </c>
      <c r="S1161" s="240">
        <f t="shared" si="406"/>
        <v>5.71</v>
      </c>
      <c r="T1161" s="216" t="s">
        <v>48</v>
      </c>
      <c r="U1161" s="196" t="str">
        <f t="shared" si="403"/>
        <v>5.71 Hrs</v>
      </c>
    </row>
    <row r="1162" spans="3:21" s="185" customFormat="1" ht="20.25" customHeight="1">
      <c r="C1162" s="198"/>
      <c r="D1162" s="203">
        <f t="shared" si="432"/>
        <v>1152</v>
      </c>
      <c r="E1162" s="207" t="s">
        <v>541</v>
      </c>
      <c r="F1162" s="211">
        <f t="shared" si="435"/>
        <v>1151</v>
      </c>
      <c r="G1162" s="206" t="s">
        <v>61</v>
      </c>
      <c r="H1162" s="206"/>
      <c r="I1162" s="224">
        <v>18</v>
      </c>
      <c r="J1162" s="211" t="str">
        <f t="shared" si="437"/>
        <v>1664 mm id</v>
      </c>
      <c r="K1162" s="234">
        <v>1</v>
      </c>
      <c r="L1162" s="208" t="s">
        <v>81</v>
      </c>
      <c r="M1162" s="227">
        <f t="shared" si="436"/>
        <v>5.2282879999999992</v>
      </c>
      <c r="N1162" s="208" t="s">
        <v>249</v>
      </c>
      <c r="O1162" s="246">
        <f>VLOOKUP(I1162,BM!$A$2:$X$104,20,FALSE)</f>
        <v>0.5</v>
      </c>
      <c r="P1162" s="208" t="s">
        <v>112</v>
      </c>
      <c r="Q1162" s="240">
        <f t="shared" si="434"/>
        <v>2.6141439999999996</v>
      </c>
      <c r="R1162" s="239">
        <v>1</v>
      </c>
      <c r="S1162" s="240">
        <f t="shared" si="406"/>
        <v>3.61</v>
      </c>
      <c r="T1162" s="216" t="s">
        <v>48</v>
      </c>
      <c r="U1162" s="196" t="str">
        <f t="shared" si="403"/>
        <v>3.61 Hrs</v>
      </c>
    </row>
    <row r="1163" spans="3:21" s="185" customFormat="1" ht="20.25" customHeight="1">
      <c r="C1163" s="198">
        <f>D1163</f>
        <v>1153</v>
      </c>
      <c r="D1163" s="203">
        <f t="shared" si="432"/>
        <v>1153</v>
      </c>
      <c r="E1163" s="204" t="s">
        <v>542</v>
      </c>
      <c r="F1163" s="210">
        <f>C1157</f>
        <v>1147</v>
      </c>
      <c r="G1163" s="206"/>
      <c r="H1163" s="206"/>
      <c r="I1163" s="208"/>
      <c r="J1163" s="208"/>
      <c r="K1163" s="234"/>
      <c r="L1163" s="208"/>
      <c r="M1163" s="217"/>
      <c r="N1163" s="208"/>
      <c r="O1163" s="218"/>
      <c r="P1163" s="208"/>
      <c r="Q1163" s="240">
        <f t="shared" si="434"/>
        <v>0</v>
      </c>
      <c r="R1163" s="239"/>
      <c r="S1163" s="240"/>
      <c r="T1163" s="216"/>
      <c r="U1163" s="196"/>
    </row>
    <row r="1164" spans="3:21" s="185" customFormat="1" ht="20.25" customHeight="1">
      <c r="C1164" s="198"/>
      <c r="D1164" s="203">
        <f t="shared" si="432"/>
        <v>1154</v>
      </c>
      <c r="E1164" s="207" t="s">
        <v>543</v>
      </c>
      <c r="F1164" s="211"/>
      <c r="G1164" s="206" t="s">
        <v>52</v>
      </c>
      <c r="H1164" s="206"/>
      <c r="I1164" s="224">
        <v>18</v>
      </c>
      <c r="J1164" s="211" t="str">
        <f>J1162</f>
        <v>1664 mm id</v>
      </c>
      <c r="K1164" s="234">
        <v>1</v>
      </c>
      <c r="L1164" s="208" t="s">
        <v>81</v>
      </c>
      <c r="M1164" s="227">
        <f t="shared" ref="M1164:M1167" si="438">LEFT(J1164,SEARCH(" ",J1164,1)-1)*K1164*3.142/1000</f>
        <v>5.2282879999999992</v>
      </c>
      <c r="N1164" s="208" t="s">
        <v>139</v>
      </c>
      <c r="O1164" s="246">
        <f>VLOOKUP(I1164,BM!$A$2:$X$104,10,FALSE)</f>
        <v>1</v>
      </c>
      <c r="P1164" s="208" t="s">
        <v>112</v>
      </c>
      <c r="Q1164" s="240">
        <f t="shared" si="434"/>
        <v>5.2282879999999992</v>
      </c>
      <c r="R1164" s="239">
        <v>1</v>
      </c>
      <c r="S1164" s="240">
        <f t="shared" si="406"/>
        <v>6.23</v>
      </c>
      <c r="T1164" s="216" t="s">
        <v>48</v>
      </c>
      <c r="U1164" s="196" t="str">
        <f t="shared" si="403"/>
        <v>6.23 Hrs</v>
      </c>
    </row>
    <row r="1165" spans="3:21" s="185" customFormat="1" ht="20.25" customHeight="1">
      <c r="C1165" s="198"/>
      <c r="D1165" s="203">
        <f t="shared" si="432"/>
        <v>1155</v>
      </c>
      <c r="E1165" s="207" t="s">
        <v>544</v>
      </c>
      <c r="F1165" s="211">
        <f t="shared" ref="F1165:F1167" si="439">D1164</f>
        <v>1154</v>
      </c>
      <c r="G1165" s="206" t="s">
        <v>44</v>
      </c>
      <c r="H1165" s="206"/>
      <c r="I1165" s="224">
        <v>18</v>
      </c>
      <c r="J1165" s="211" t="str">
        <f t="shared" ref="J1165:J1167" si="440">J1164</f>
        <v>1664 mm id</v>
      </c>
      <c r="K1165" s="234">
        <v>1</v>
      </c>
      <c r="L1165" s="208" t="s">
        <v>81</v>
      </c>
      <c r="M1165" s="227">
        <f t="shared" si="438"/>
        <v>5.2282879999999992</v>
      </c>
      <c r="N1165" s="208" t="s">
        <v>139</v>
      </c>
      <c r="O1165" s="246">
        <f>VLOOKUP(I1165,BM!$A$2:$X$104,16,FALSE)</f>
        <v>1</v>
      </c>
      <c r="P1165" s="208" t="s">
        <v>112</v>
      </c>
      <c r="Q1165" s="240">
        <f t="shared" si="434"/>
        <v>5.2282879999999992</v>
      </c>
      <c r="R1165" s="239">
        <v>1</v>
      </c>
      <c r="S1165" s="240">
        <f t="shared" si="406"/>
        <v>6.23</v>
      </c>
      <c r="T1165" s="216" t="s">
        <v>48</v>
      </c>
      <c r="U1165" s="196" t="str">
        <f t="shared" si="403"/>
        <v>6.23 Hrs</v>
      </c>
    </row>
    <row r="1166" spans="3:21" s="185" customFormat="1" ht="20.25" customHeight="1">
      <c r="C1166" s="198"/>
      <c r="D1166" s="203">
        <f t="shared" si="432"/>
        <v>1156</v>
      </c>
      <c r="E1166" s="207" t="s">
        <v>545</v>
      </c>
      <c r="F1166" s="211">
        <f t="shared" si="439"/>
        <v>1155</v>
      </c>
      <c r="G1166" s="206" t="s">
        <v>111</v>
      </c>
      <c r="H1166" s="206"/>
      <c r="I1166" s="224">
        <v>18</v>
      </c>
      <c r="J1166" s="211" t="str">
        <f t="shared" si="440"/>
        <v>1664 mm id</v>
      </c>
      <c r="K1166" s="234">
        <v>1</v>
      </c>
      <c r="L1166" s="208" t="s">
        <v>81</v>
      </c>
      <c r="M1166" s="227">
        <f t="shared" si="438"/>
        <v>5.2282879999999992</v>
      </c>
      <c r="N1166" s="208" t="s">
        <v>139</v>
      </c>
      <c r="O1166" s="218">
        <v>4</v>
      </c>
      <c r="P1166" s="208" t="s">
        <v>112</v>
      </c>
      <c r="Q1166" s="240">
        <f t="shared" si="434"/>
        <v>20.913151999999997</v>
      </c>
      <c r="R1166" s="239">
        <v>1</v>
      </c>
      <c r="S1166" s="240">
        <f t="shared" si="406"/>
        <v>21.91</v>
      </c>
      <c r="T1166" s="216" t="s">
        <v>48</v>
      </c>
      <c r="U1166" s="196" t="str">
        <f t="shared" si="403"/>
        <v>21.91 Hrs</v>
      </c>
    </row>
    <row r="1167" spans="3:21" s="185" customFormat="1" ht="20.25" customHeight="1">
      <c r="C1167" s="198"/>
      <c r="D1167" s="203">
        <f t="shared" si="432"/>
        <v>1157</v>
      </c>
      <c r="E1167" s="207" t="s">
        <v>546</v>
      </c>
      <c r="F1167" s="211">
        <f t="shared" si="439"/>
        <v>1156</v>
      </c>
      <c r="G1167" s="206" t="s">
        <v>63</v>
      </c>
      <c r="H1167" s="206"/>
      <c r="I1167" s="224">
        <v>18</v>
      </c>
      <c r="J1167" s="211" t="str">
        <f t="shared" si="440"/>
        <v>1664 mm id</v>
      </c>
      <c r="K1167" s="234">
        <v>1</v>
      </c>
      <c r="L1167" s="208" t="s">
        <v>81</v>
      </c>
      <c r="M1167" s="227">
        <f t="shared" si="438"/>
        <v>5.2282879999999992</v>
      </c>
      <c r="N1167" s="208" t="s">
        <v>39</v>
      </c>
      <c r="O1167" s="218">
        <v>3.5</v>
      </c>
      <c r="P1167" s="208" t="s">
        <v>112</v>
      </c>
      <c r="Q1167" s="240">
        <f t="shared" si="434"/>
        <v>18.299007999999997</v>
      </c>
      <c r="R1167" s="239">
        <v>1</v>
      </c>
      <c r="S1167" s="240">
        <f t="shared" si="406"/>
        <v>19.3</v>
      </c>
      <c r="T1167" s="216" t="s">
        <v>48</v>
      </c>
      <c r="U1167" s="196" t="str">
        <f t="shared" si="403"/>
        <v>19.3 Hrs</v>
      </c>
    </row>
    <row r="1168" spans="3:21" s="185" customFormat="1" ht="20.25" customHeight="1">
      <c r="C1168" s="198">
        <f>D1168</f>
        <v>1158</v>
      </c>
      <c r="D1168" s="203">
        <f t="shared" si="432"/>
        <v>1158</v>
      </c>
      <c r="E1168" s="204" t="s">
        <v>547</v>
      </c>
      <c r="F1168" s="210">
        <f>C1163</f>
        <v>1153</v>
      </c>
      <c r="G1168" s="206"/>
      <c r="H1168" s="206"/>
      <c r="I1168" s="208"/>
      <c r="J1168" s="208"/>
      <c r="K1168" s="234"/>
      <c r="L1168" s="208"/>
      <c r="M1168" s="217"/>
      <c r="N1168" s="208"/>
      <c r="O1168" s="218"/>
      <c r="P1168" s="208"/>
      <c r="Q1168" s="240"/>
      <c r="R1168" s="239"/>
      <c r="S1168" s="240"/>
      <c r="T1168" s="216"/>
      <c r="U1168" s="196"/>
    </row>
    <row r="1169" spans="3:21" s="185" customFormat="1" ht="20.25" customHeight="1">
      <c r="C1169" s="198"/>
      <c r="D1169" s="203">
        <f t="shared" si="432"/>
        <v>1159</v>
      </c>
      <c r="E1169" s="207" t="s">
        <v>548</v>
      </c>
      <c r="F1169" s="211"/>
      <c r="G1169" s="206" t="s">
        <v>201</v>
      </c>
      <c r="H1169" s="206"/>
      <c r="I1169" s="224">
        <v>12</v>
      </c>
      <c r="J1169" s="211" t="str">
        <f>J1167</f>
        <v>1664 mm id</v>
      </c>
      <c r="K1169" s="234">
        <v>1</v>
      </c>
      <c r="L1169" s="208" t="s">
        <v>81</v>
      </c>
      <c r="M1169" s="217">
        <v>1</v>
      </c>
      <c r="N1169" s="208" t="s">
        <v>249</v>
      </c>
      <c r="O1169" s="218">
        <v>1</v>
      </c>
      <c r="P1169" s="208" t="s">
        <v>112</v>
      </c>
      <c r="Q1169" s="240">
        <f t="shared" ref="Q1169:Q1173" si="441">M1169*O1169</f>
        <v>1</v>
      </c>
      <c r="R1169" s="239">
        <v>1</v>
      </c>
      <c r="S1169" s="240">
        <f t="shared" si="406"/>
        <v>2</v>
      </c>
      <c r="T1169" s="216" t="s">
        <v>48</v>
      </c>
      <c r="U1169" s="196" t="str">
        <f t="shared" si="403"/>
        <v>2 Hrs</v>
      </c>
    </row>
    <row r="1170" spans="3:21" s="185" customFormat="1" ht="20.25" customHeight="1">
      <c r="C1170" s="198"/>
      <c r="D1170" s="203">
        <f t="shared" si="432"/>
        <v>1160</v>
      </c>
      <c r="E1170" s="207" t="s">
        <v>549</v>
      </c>
      <c r="F1170" s="211">
        <f t="shared" ref="F1170:F1173" si="442">D1169</f>
        <v>1159</v>
      </c>
      <c r="G1170" s="206" t="s">
        <v>115</v>
      </c>
      <c r="H1170" s="206"/>
      <c r="I1170" s="224">
        <v>12</v>
      </c>
      <c r="J1170" s="211" t="str">
        <f t="shared" ref="J1170:J1173" si="443">J1169</f>
        <v>1664 mm id</v>
      </c>
      <c r="K1170" s="234">
        <v>1</v>
      </c>
      <c r="L1170" s="208" t="s">
        <v>81</v>
      </c>
      <c r="M1170" s="227">
        <f t="shared" ref="M1170:M1173" si="444">LEFT(J1170,SEARCH(" ",J1170,1)-1)*K1170*3.142/1000</f>
        <v>5.2282879999999992</v>
      </c>
      <c r="N1170" s="208" t="s">
        <v>249</v>
      </c>
      <c r="O1170" s="246">
        <f>VLOOKUP(I1170,BM!$A$2:$X$104,17,FALSE)</f>
        <v>2.5</v>
      </c>
      <c r="P1170" s="208" t="s">
        <v>112</v>
      </c>
      <c r="Q1170" s="240">
        <f t="shared" si="441"/>
        <v>13.070719999999998</v>
      </c>
      <c r="R1170" s="239">
        <v>1</v>
      </c>
      <c r="S1170" s="240">
        <f t="shared" si="406"/>
        <v>14.07</v>
      </c>
      <c r="T1170" s="216" t="s">
        <v>48</v>
      </c>
      <c r="U1170" s="196" t="str">
        <f t="shared" si="403"/>
        <v>14.07 Hrs</v>
      </c>
    </row>
    <row r="1171" spans="3:21" s="185" customFormat="1" ht="20.25" customHeight="1">
      <c r="C1171" s="198"/>
      <c r="D1171" s="203">
        <f t="shared" si="432"/>
        <v>1161</v>
      </c>
      <c r="E1171" s="207" t="s">
        <v>550</v>
      </c>
      <c r="F1171" s="211">
        <f t="shared" si="442"/>
        <v>1160</v>
      </c>
      <c r="G1171" s="206" t="s">
        <v>61</v>
      </c>
      <c r="H1171" s="206"/>
      <c r="I1171" s="224">
        <v>18</v>
      </c>
      <c r="J1171" s="211" t="str">
        <f t="shared" si="443"/>
        <v>1664 mm id</v>
      </c>
      <c r="K1171" s="234">
        <v>1</v>
      </c>
      <c r="L1171" s="208" t="s">
        <v>81</v>
      </c>
      <c r="M1171" s="227">
        <f t="shared" si="444"/>
        <v>5.2282879999999992</v>
      </c>
      <c r="N1171" s="208" t="s">
        <v>249</v>
      </c>
      <c r="O1171" s="246">
        <f>VLOOKUP(I1171,BM!$A$2:$X$104,18,FALSE)</f>
        <v>1</v>
      </c>
      <c r="P1171" s="208" t="s">
        <v>112</v>
      </c>
      <c r="Q1171" s="240">
        <f t="shared" si="441"/>
        <v>5.2282879999999992</v>
      </c>
      <c r="R1171" s="239">
        <v>1</v>
      </c>
      <c r="S1171" s="240">
        <f t="shared" si="406"/>
        <v>6.23</v>
      </c>
      <c r="T1171" s="216" t="s">
        <v>48</v>
      </c>
      <c r="U1171" s="196" t="str">
        <f t="shared" si="403"/>
        <v>6.23 Hrs</v>
      </c>
    </row>
    <row r="1172" spans="3:21" s="185" customFormat="1" ht="20.25" customHeight="1">
      <c r="C1172" s="198"/>
      <c r="D1172" s="203">
        <f t="shared" si="432"/>
        <v>1162</v>
      </c>
      <c r="E1172" s="207" t="s">
        <v>551</v>
      </c>
      <c r="F1172" s="211">
        <f t="shared" si="442"/>
        <v>1161</v>
      </c>
      <c r="G1172" s="206" t="s">
        <v>115</v>
      </c>
      <c r="H1172" s="206"/>
      <c r="I1172" s="224">
        <v>6</v>
      </c>
      <c r="J1172" s="211" t="str">
        <f t="shared" si="443"/>
        <v>1664 mm id</v>
      </c>
      <c r="K1172" s="234">
        <v>1</v>
      </c>
      <c r="L1172" s="208" t="s">
        <v>81</v>
      </c>
      <c r="M1172" s="227">
        <f t="shared" si="444"/>
        <v>5.2282879999999992</v>
      </c>
      <c r="N1172" s="208" t="s">
        <v>249</v>
      </c>
      <c r="O1172" s="246">
        <f>VLOOKUP(I1172,BM!$A$2:$X$104,17,FALSE)</f>
        <v>0.9</v>
      </c>
      <c r="P1172" s="208" t="s">
        <v>112</v>
      </c>
      <c r="Q1172" s="240">
        <f t="shared" si="441"/>
        <v>4.7054591999999991</v>
      </c>
      <c r="R1172" s="239">
        <v>1</v>
      </c>
      <c r="S1172" s="240">
        <f t="shared" si="406"/>
        <v>5.71</v>
      </c>
      <c r="T1172" s="216" t="s">
        <v>48</v>
      </c>
      <c r="U1172" s="196" t="str">
        <f t="shared" si="403"/>
        <v>5.71 Hrs</v>
      </c>
    </row>
    <row r="1173" spans="3:21" s="185" customFormat="1" ht="20.25" customHeight="1">
      <c r="C1173" s="198"/>
      <c r="D1173" s="203">
        <f t="shared" si="432"/>
        <v>1163</v>
      </c>
      <c r="E1173" s="207" t="s">
        <v>552</v>
      </c>
      <c r="F1173" s="211">
        <f t="shared" si="442"/>
        <v>1162</v>
      </c>
      <c r="G1173" s="206" t="s">
        <v>61</v>
      </c>
      <c r="H1173" s="206"/>
      <c r="I1173" s="224">
        <v>18</v>
      </c>
      <c r="J1173" s="211" t="str">
        <f t="shared" si="443"/>
        <v>1664 mm id</v>
      </c>
      <c r="K1173" s="234">
        <v>1</v>
      </c>
      <c r="L1173" s="208" t="s">
        <v>81</v>
      </c>
      <c r="M1173" s="227">
        <f t="shared" si="444"/>
        <v>5.2282879999999992</v>
      </c>
      <c r="N1173" s="208" t="s">
        <v>249</v>
      </c>
      <c r="O1173" s="246">
        <f>VLOOKUP(I1173,BM!$A$2:$X$104,20,FALSE)</f>
        <v>0.5</v>
      </c>
      <c r="P1173" s="208" t="s">
        <v>112</v>
      </c>
      <c r="Q1173" s="240">
        <f t="shared" si="441"/>
        <v>2.6141439999999996</v>
      </c>
      <c r="R1173" s="239">
        <v>1</v>
      </c>
      <c r="S1173" s="240">
        <f t="shared" si="406"/>
        <v>3.61</v>
      </c>
      <c r="T1173" s="216" t="s">
        <v>48</v>
      </c>
      <c r="U1173" s="196" t="str">
        <f t="shared" si="403"/>
        <v>3.61 Hrs</v>
      </c>
    </row>
    <row r="1174" spans="3:21" s="185" customFormat="1" ht="20.25" customHeight="1">
      <c r="C1174" s="198">
        <f>D1174</f>
        <v>1164</v>
      </c>
      <c r="D1174" s="203">
        <f t="shared" si="432"/>
        <v>1164</v>
      </c>
      <c r="E1174" s="204" t="s">
        <v>553</v>
      </c>
      <c r="F1174" s="210">
        <f>C1168</f>
        <v>1158</v>
      </c>
      <c r="G1174" s="206"/>
      <c r="H1174" s="206"/>
      <c r="I1174" s="208"/>
      <c r="J1174" s="208"/>
      <c r="K1174" s="234"/>
      <c r="L1174" s="208"/>
      <c r="M1174" s="217"/>
      <c r="N1174" s="208"/>
      <c r="O1174" s="218"/>
      <c r="P1174" s="208"/>
      <c r="Q1174" s="240"/>
      <c r="R1174" s="239"/>
      <c r="S1174" s="240"/>
      <c r="T1174" s="216"/>
      <c r="U1174" s="196"/>
    </row>
    <row r="1175" spans="3:21" s="185" customFormat="1" ht="20.25" customHeight="1">
      <c r="C1175" s="198"/>
      <c r="D1175" s="203">
        <f t="shared" si="432"/>
        <v>1165</v>
      </c>
      <c r="E1175" s="207" t="s">
        <v>554</v>
      </c>
      <c r="F1175" s="211"/>
      <c r="G1175" s="206" t="s">
        <v>312</v>
      </c>
      <c r="H1175" s="206"/>
      <c r="I1175" s="233">
        <f>I1173</f>
        <v>18</v>
      </c>
      <c r="J1175" s="211" t="str">
        <f t="shared" ref="J1175:L1175" si="445">J1173</f>
        <v>1664 mm id</v>
      </c>
      <c r="K1175" s="225">
        <f t="shared" si="445"/>
        <v>1</v>
      </c>
      <c r="L1175" s="211" t="str">
        <f t="shared" si="445"/>
        <v>Nos</v>
      </c>
      <c r="M1175" s="208">
        <v>1</v>
      </c>
      <c r="N1175" s="208" t="s">
        <v>39</v>
      </c>
      <c r="O1175" s="218">
        <v>1</v>
      </c>
      <c r="P1175" s="208" t="s">
        <v>41</v>
      </c>
      <c r="Q1175" s="240">
        <f t="shared" ref="Q1175" si="446">M1175*O1175</f>
        <v>1</v>
      </c>
      <c r="R1175" s="211"/>
      <c r="S1175" s="240">
        <f t="shared" si="406"/>
        <v>1</v>
      </c>
      <c r="T1175" s="216" t="s">
        <v>42</v>
      </c>
      <c r="U1175" s="196" t="str">
        <f t="shared" si="403"/>
        <v>1 Days</v>
      </c>
    </row>
    <row r="1176" spans="3:21" s="185" customFormat="1" ht="20.25" customHeight="1">
      <c r="C1176" s="198">
        <f>D1176</f>
        <v>1166</v>
      </c>
      <c r="D1176" s="203">
        <f t="shared" si="432"/>
        <v>1166</v>
      </c>
      <c r="E1176" s="204" t="s">
        <v>555</v>
      </c>
      <c r="F1176" s="210">
        <f>D1174</f>
        <v>1164</v>
      </c>
      <c r="G1176" s="206"/>
      <c r="H1176" s="206"/>
      <c r="I1176" s="208"/>
      <c r="J1176" s="208"/>
      <c r="K1176" s="234"/>
      <c r="L1176" s="208"/>
      <c r="M1176" s="217"/>
      <c r="N1176" s="208"/>
      <c r="O1176" s="218"/>
      <c r="P1176" s="208"/>
      <c r="Q1176" s="240"/>
      <c r="R1176" s="239"/>
      <c r="S1176" s="240"/>
      <c r="T1176" s="216"/>
      <c r="U1176" s="196"/>
    </row>
    <row r="1177" spans="3:21" s="185" customFormat="1" ht="20.25" customHeight="1">
      <c r="C1177" s="198"/>
      <c r="D1177" s="203">
        <f t="shared" si="432"/>
        <v>1167</v>
      </c>
      <c r="E1177" s="207" t="s">
        <v>556</v>
      </c>
      <c r="F1177" s="211"/>
      <c r="G1177" s="206" t="s">
        <v>44</v>
      </c>
      <c r="H1177" s="206"/>
      <c r="I1177" s="224">
        <v>20</v>
      </c>
      <c r="J1177" s="211" t="str">
        <f>J1175</f>
        <v>1664 mm id</v>
      </c>
      <c r="K1177" s="234">
        <v>1</v>
      </c>
      <c r="L1177" s="208" t="s">
        <v>81</v>
      </c>
      <c r="M1177" s="217">
        <v>1</v>
      </c>
      <c r="N1177" s="208" t="s">
        <v>81</v>
      </c>
      <c r="O1177" s="218">
        <v>3</v>
      </c>
      <c r="P1177" s="208" t="s">
        <v>112</v>
      </c>
      <c r="Q1177" s="240">
        <f t="shared" ref="Q1177:Q1178" si="447">M1177*O1177</f>
        <v>3</v>
      </c>
      <c r="R1177" s="239">
        <v>1</v>
      </c>
      <c r="S1177" s="240">
        <f t="shared" si="406"/>
        <v>4</v>
      </c>
      <c r="T1177" s="216" t="s">
        <v>48</v>
      </c>
      <c r="U1177" s="196" t="str">
        <f t="shared" si="403"/>
        <v>4 Hrs</v>
      </c>
    </row>
    <row r="1178" spans="3:21" s="185" customFormat="1" ht="20.25" customHeight="1">
      <c r="C1178" s="198"/>
      <c r="D1178" s="203">
        <f t="shared" si="432"/>
        <v>1168</v>
      </c>
      <c r="E1178" s="207" t="s">
        <v>557</v>
      </c>
      <c r="F1178" s="211">
        <f t="shared" ref="F1178" si="448">D1177</f>
        <v>1167</v>
      </c>
      <c r="G1178" s="206" t="s">
        <v>44</v>
      </c>
      <c r="H1178" s="206"/>
      <c r="I1178" s="224">
        <v>20</v>
      </c>
      <c r="J1178" s="211" t="str">
        <f>J1177</f>
        <v>1664 mm id</v>
      </c>
      <c r="K1178" s="234">
        <v>1</v>
      </c>
      <c r="L1178" s="208" t="s">
        <v>81</v>
      </c>
      <c r="M1178" s="217">
        <v>1</v>
      </c>
      <c r="N1178" s="208" t="s">
        <v>81</v>
      </c>
      <c r="O1178" s="218">
        <v>1</v>
      </c>
      <c r="P1178" s="208" t="s">
        <v>112</v>
      </c>
      <c r="Q1178" s="240">
        <f t="shared" si="447"/>
        <v>1</v>
      </c>
      <c r="R1178" s="239">
        <v>1</v>
      </c>
      <c r="S1178" s="240">
        <f t="shared" si="406"/>
        <v>2</v>
      </c>
      <c r="T1178" s="216" t="s">
        <v>48</v>
      </c>
      <c r="U1178" s="196" t="str">
        <f t="shared" si="403"/>
        <v>2 Hrs</v>
      </c>
    </row>
    <row r="1179" spans="3:21" s="185" customFormat="1" ht="20.25" customHeight="1">
      <c r="C1179" s="198">
        <f>D1179</f>
        <v>1169</v>
      </c>
      <c r="D1179" s="203">
        <f t="shared" si="432"/>
        <v>1169</v>
      </c>
      <c r="E1179" s="204" t="s">
        <v>558</v>
      </c>
      <c r="F1179" s="210">
        <f>D1176</f>
        <v>1166</v>
      </c>
      <c r="G1179" s="206"/>
      <c r="H1179" s="206"/>
      <c r="I1179" s="208"/>
      <c r="J1179" s="208"/>
      <c r="K1179" s="234"/>
      <c r="L1179" s="208"/>
      <c r="M1179" s="217"/>
      <c r="N1179" s="208"/>
      <c r="O1179" s="218"/>
      <c r="P1179" s="208"/>
      <c r="Q1179" s="240"/>
      <c r="R1179" s="239"/>
      <c r="S1179" s="240"/>
      <c r="T1179" s="216"/>
      <c r="U1179" s="196"/>
    </row>
    <row r="1180" spans="3:21" s="185" customFormat="1" ht="20.25" customHeight="1">
      <c r="C1180" s="198"/>
      <c r="D1180" s="203">
        <f t="shared" si="432"/>
        <v>1170</v>
      </c>
      <c r="E1180" s="207" t="s">
        <v>559</v>
      </c>
      <c r="F1180" s="211"/>
      <c r="G1180" s="206" t="s">
        <v>52</v>
      </c>
      <c r="H1180" s="206"/>
      <c r="I1180" s="208"/>
      <c r="J1180" s="234" t="s">
        <v>560</v>
      </c>
      <c r="K1180" s="234">
        <v>1</v>
      </c>
      <c r="L1180" s="208" t="s">
        <v>39</v>
      </c>
      <c r="M1180" s="217">
        <v>1</v>
      </c>
      <c r="N1180" s="208" t="s">
        <v>81</v>
      </c>
      <c r="O1180" s="218">
        <v>3</v>
      </c>
      <c r="P1180" s="208" t="s">
        <v>112</v>
      </c>
      <c r="Q1180" s="240">
        <f t="shared" ref="Q1180:Q1181" si="449">M1180*O1180</f>
        <v>3</v>
      </c>
      <c r="R1180" s="239">
        <v>1</v>
      </c>
      <c r="S1180" s="240">
        <f t="shared" si="406"/>
        <v>4</v>
      </c>
      <c r="T1180" s="216" t="s">
        <v>48</v>
      </c>
      <c r="U1180" s="196" t="str">
        <f t="shared" ref="U1180:U1243" si="450">CONCATENATE(S1180," ",T1180)</f>
        <v>4 Hrs</v>
      </c>
    </row>
    <row r="1181" spans="3:21" s="185" customFormat="1" ht="20.25" customHeight="1">
      <c r="C1181" s="198"/>
      <c r="D1181" s="203">
        <f t="shared" si="432"/>
        <v>1171</v>
      </c>
      <c r="E1181" s="207" t="s">
        <v>559</v>
      </c>
      <c r="F1181" s="211">
        <f t="shared" ref="F1181" si="451">D1180</f>
        <v>1170</v>
      </c>
      <c r="G1181" s="206" t="s">
        <v>52</v>
      </c>
      <c r="H1181" s="206"/>
      <c r="I1181" s="208"/>
      <c r="J1181" s="234" t="s">
        <v>560</v>
      </c>
      <c r="K1181" s="234">
        <v>1</v>
      </c>
      <c r="L1181" s="208" t="s">
        <v>39</v>
      </c>
      <c r="M1181" s="217">
        <v>1</v>
      </c>
      <c r="N1181" s="208" t="s">
        <v>81</v>
      </c>
      <c r="O1181" s="218">
        <v>3</v>
      </c>
      <c r="P1181" s="208" t="s">
        <v>112</v>
      </c>
      <c r="Q1181" s="240">
        <f t="shared" si="449"/>
        <v>3</v>
      </c>
      <c r="R1181" s="239">
        <v>1</v>
      </c>
      <c r="S1181" s="240">
        <f t="shared" si="406"/>
        <v>4</v>
      </c>
      <c r="T1181" s="216" t="s">
        <v>48</v>
      </c>
      <c r="U1181" s="196" t="str">
        <f t="shared" si="450"/>
        <v>4 Hrs</v>
      </c>
    </row>
    <row r="1182" spans="3:21" s="185" customFormat="1" ht="20.25" customHeight="1">
      <c r="C1182" s="198">
        <f>D1182</f>
        <v>1172</v>
      </c>
      <c r="D1182" s="203">
        <f t="shared" si="432"/>
        <v>1172</v>
      </c>
      <c r="E1182" s="204" t="s">
        <v>561</v>
      </c>
      <c r="F1182" s="210">
        <f>D1179</f>
        <v>1169</v>
      </c>
      <c r="G1182" s="206"/>
      <c r="H1182" s="206"/>
      <c r="I1182" s="208"/>
      <c r="J1182" s="208"/>
      <c r="K1182" s="234"/>
      <c r="L1182" s="208"/>
      <c r="M1182" s="217"/>
      <c r="N1182" s="208"/>
      <c r="O1182" s="218"/>
      <c r="P1182" s="208"/>
      <c r="Q1182" s="240"/>
      <c r="R1182" s="239"/>
      <c r="S1182" s="240"/>
      <c r="T1182" s="216"/>
      <c r="U1182" s="196"/>
    </row>
    <row r="1183" spans="3:21" s="185" customFormat="1" ht="20.25" customHeight="1">
      <c r="C1183" s="198"/>
      <c r="D1183" s="203">
        <f t="shared" si="432"/>
        <v>1173</v>
      </c>
      <c r="E1183" s="207" t="s">
        <v>559</v>
      </c>
      <c r="F1183" s="211"/>
      <c r="G1183" s="206" t="s">
        <v>121</v>
      </c>
      <c r="H1183" s="206"/>
      <c r="I1183" s="208"/>
      <c r="J1183" s="234" t="s">
        <v>560</v>
      </c>
      <c r="K1183" s="234">
        <v>1</v>
      </c>
      <c r="L1183" s="208" t="s">
        <v>39</v>
      </c>
      <c r="M1183" s="217">
        <v>1</v>
      </c>
      <c r="N1183" s="208" t="s">
        <v>81</v>
      </c>
      <c r="O1183" s="218">
        <v>2</v>
      </c>
      <c r="P1183" s="208" t="s">
        <v>112</v>
      </c>
      <c r="Q1183" s="240">
        <f t="shared" ref="Q1183:Q1184" si="452">M1183*O1183</f>
        <v>2</v>
      </c>
      <c r="R1183" s="239">
        <v>1</v>
      </c>
      <c r="S1183" s="240">
        <f t="shared" ref="S1183:S1245" si="453">ROUND(Q1183+R1183,2)</f>
        <v>3</v>
      </c>
      <c r="T1183" s="216" t="s">
        <v>48</v>
      </c>
      <c r="U1183" s="196" t="str">
        <f t="shared" si="450"/>
        <v>3 Hrs</v>
      </c>
    </row>
    <row r="1184" spans="3:21" s="185" customFormat="1" ht="20.25" customHeight="1">
      <c r="C1184" s="198"/>
      <c r="D1184" s="203">
        <f t="shared" si="432"/>
        <v>1174</v>
      </c>
      <c r="E1184" s="207" t="s">
        <v>559</v>
      </c>
      <c r="F1184" s="211">
        <f t="shared" ref="F1184" si="454">D1183</f>
        <v>1173</v>
      </c>
      <c r="G1184" s="206" t="s">
        <v>121</v>
      </c>
      <c r="H1184" s="206"/>
      <c r="I1184" s="208"/>
      <c r="J1184" s="234" t="s">
        <v>560</v>
      </c>
      <c r="K1184" s="234">
        <v>1</v>
      </c>
      <c r="L1184" s="208" t="s">
        <v>39</v>
      </c>
      <c r="M1184" s="217">
        <v>1</v>
      </c>
      <c r="N1184" s="208" t="s">
        <v>81</v>
      </c>
      <c r="O1184" s="218">
        <v>2</v>
      </c>
      <c r="P1184" s="208" t="s">
        <v>112</v>
      </c>
      <c r="Q1184" s="240">
        <f t="shared" si="452"/>
        <v>2</v>
      </c>
      <c r="R1184" s="239">
        <v>1</v>
      </c>
      <c r="S1184" s="240">
        <f t="shared" si="453"/>
        <v>3</v>
      </c>
      <c r="T1184" s="216" t="s">
        <v>48</v>
      </c>
      <c r="U1184" s="196" t="str">
        <f t="shared" si="450"/>
        <v>3 Hrs</v>
      </c>
    </row>
    <row r="1185" spans="3:21" s="185" customFormat="1" ht="20.25" customHeight="1">
      <c r="C1185" s="198">
        <f>D1185</f>
        <v>1175</v>
      </c>
      <c r="D1185" s="203">
        <f t="shared" si="432"/>
        <v>1175</v>
      </c>
      <c r="E1185" s="204" t="s">
        <v>562</v>
      </c>
      <c r="F1185" s="210">
        <f>D1182</f>
        <v>1172</v>
      </c>
      <c r="G1185" s="206"/>
      <c r="H1185" s="206"/>
      <c r="I1185" s="208"/>
      <c r="J1185" s="208"/>
      <c r="K1185" s="234"/>
      <c r="L1185" s="208"/>
      <c r="M1185" s="217"/>
      <c r="N1185" s="208"/>
      <c r="O1185" s="218"/>
      <c r="P1185" s="208"/>
      <c r="Q1185" s="240"/>
      <c r="R1185" s="239"/>
      <c r="S1185" s="240"/>
      <c r="T1185" s="216"/>
      <c r="U1185" s="196"/>
    </row>
    <row r="1186" spans="3:21" s="185" customFormat="1" ht="20.25" customHeight="1">
      <c r="C1186" s="198"/>
      <c r="D1186" s="203">
        <f t="shared" si="432"/>
        <v>1176</v>
      </c>
      <c r="E1186" s="207" t="s">
        <v>563</v>
      </c>
      <c r="F1186" s="211"/>
      <c r="G1186" s="206" t="s">
        <v>111</v>
      </c>
      <c r="H1186" s="206"/>
      <c r="I1186" s="208"/>
      <c r="J1186" s="234" t="s">
        <v>560</v>
      </c>
      <c r="K1186" s="234">
        <v>1</v>
      </c>
      <c r="L1186" s="208" t="s">
        <v>564</v>
      </c>
      <c r="M1186" s="217">
        <v>1</v>
      </c>
      <c r="N1186" s="208" t="s">
        <v>81</v>
      </c>
      <c r="O1186" s="246">
        <f>VLOOKUP(J1186,BM!$A$2:$X$104,11,FALSE)</f>
        <v>1</v>
      </c>
      <c r="P1186" s="208" t="s">
        <v>112</v>
      </c>
      <c r="Q1186" s="240">
        <f t="shared" ref="Q1186:Q1187" si="455">M1186*O1186</f>
        <v>1</v>
      </c>
      <c r="R1186" s="239">
        <v>1</v>
      </c>
      <c r="S1186" s="240">
        <f t="shared" si="453"/>
        <v>2</v>
      </c>
      <c r="T1186" s="216" t="s">
        <v>48</v>
      </c>
      <c r="U1186" s="196" t="str">
        <f t="shared" si="450"/>
        <v>2 Hrs</v>
      </c>
    </row>
    <row r="1187" spans="3:21" s="185" customFormat="1" ht="20.25" customHeight="1">
      <c r="C1187" s="198"/>
      <c r="D1187" s="203">
        <f t="shared" si="432"/>
        <v>1177</v>
      </c>
      <c r="E1187" s="207" t="s">
        <v>565</v>
      </c>
      <c r="F1187" s="211">
        <f t="shared" ref="F1187" si="456">D1186</f>
        <v>1176</v>
      </c>
      <c r="G1187" s="206" t="s">
        <v>111</v>
      </c>
      <c r="H1187" s="206"/>
      <c r="I1187" s="208"/>
      <c r="J1187" s="225" t="str">
        <f>J1186</f>
        <v>40NB</v>
      </c>
      <c r="K1187" s="234">
        <v>1</v>
      </c>
      <c r="L1187" s="208" t="s">
        <v>564</v>
      </c>
      <c r="M1187" s="217">
        <v>1</v>
      </c>
      <c r="N1187" s="208" t="s">
        <v>81</v>
      </c>
      <c r="O1187" s="246">
        <f>VLOOKUP(J1187,BM!$A$2:$X$104,11,FALSE)</f>
        <v>1</v>
      </c>
      <c r="P1187" s="208" t="s">
        <v>112</v>
      </c>
      <c r="Q1187" s="240">
        <f t="shared" si="455"/>
        <v>1</v>
      </c>
      <c r="R1187" s="239">
        <v>1</v>
      </c>
      <c r="S1187" s="240">
        <f t="shared" si="453"/>
        <v>2</v>
      </c>
      <c r="T1187" s="216" t="s">
        <v>48</v>
      </c>
      <c r="U1187" s="196" t="str">
        <f t="shared" si="450"/>
        <v>2 Hrs</v>
      </c>
    </row>
    <row r="1188" spans="3:21" s="185" customFormat="1" ht="20.25" customHeight="1">
      <c r="C1188" s="198">
        <f>D1188</f>
        <v>1178</v>
      </c>
      <c r="D1188" s="203">
        <f t="shared" si="432"/>
        <v>1178</v>
      </c>
      <c r="E1188" s="204" t="s">
        <v>566</v>
      </c>
      <c r="F1188" s="210">
        <f>D1185</f>
        <v>1175</v>
      </c>
      <c r="G1188" s="206"/>
      <c r="H1188" s="206"/>
      <c r="I1188" s="208"/>
      <c r="J1188" s="208"/>
      <c r="K1188" s="234"/>
      <c r="L1188" s="208"/>
      <c r="M1188" s="217"/>
      <c r="N1188" s="208"/>
      <c r="O1188" s="218"/>
      <c r="P1188" s="208"/>
      <c r="Q1188" s="240"/>
      <c r="R1188" s="239"/>
      <c r="S1188" s="240"/>
      <c r="T1188" s="216"/>
      <c r="U1188" s="196"/>
    </row>
    <row r="1189" spans="3:21" s="185" customFormat="1" ht="20.25" customHeight="1">
      <c r="C1189" s="198"/>
      <c r="D1189" s="203">
        <f t="shared" si="432"/>
        <v>1179</v>
      </c>
      <c r="E1189" s="207" t="s">
        <v>567</v>
      </c>
      <c r="F1189" s="211"/>
      <c r="G1189" s="206" t="s">
        <v>568</v>
      </c>
      <c r="H1189" s="206"/>
      <c r="I1189" s="208"/>
      <c r="J1189" s="225" t="str">
        <f>J1187</f>
        <v>40NB</v>
      </c>
      <c r="K1189" s="234">
        <v>1</v>
      </c>
      <c r="L1189" s="208" t="s">
        <v>564</v>
      </c>
      <c r="M1189" s="217">
        <v>1</v>
      </c>
      <c r="N1189" s="208" t="s">
        <v>81</v>
      </c>
      <c r="O1189" s="218">
        <v>0.5</v>
      </c>
      <c r="P1189" s="208" t="s">
        <v>112</v>
      </c>
      <c r="Q1189" s="240">
        <f t="shared" ref="Q1189:Q1190" si="457">M1189*O1189</f>
        <v>0.5</v>
      </c>
      <c r="R1189" s="239">
        <v>1</v>
      </c>
      <c r="S1189" s="240">
        <f t="shared" si="453"/>
        <v>1.5</v>
      </c>
      <c r="T1189" s="216" t="s">
        <v>48</v>
      </c>
      <c r="U1189" s="196" t="str">
        <f t="shared" si="450"/>
        <v>1.5 Hrs</v>
      </c>
    </row>
    <row r="1190" spans="3:21" s="185" customFormat="1" ht="20.25" customHeight="1">
      <c r="C1190" s="198"/>
      <c r="D1190" s="203">
        <f t="shared" si="432"/>
        <v>1180</v>
      </c>
      <c r="E1190" s="207" t="s">
        <v>569</v>
      </c>
      <c r="F1190" s="211">
        <f t="shared" ref="F1190" si="458">D1189</f>
        <v>1179</v>
      </c>
      <c r="G1190" s="206" t="s">
        <v>568</v>
      </c>
      <c r="H1190" s="206"/>
      <c r="I1190" s="208"/>
      <c r="J1190" s="225" t="str">
        <f>J1187</f>
        <v>40NB</v>
      </c>
      <c r="K1190" s="234">
        <v>1</v>
      </c>
      <c r="L1190" s="208" t="s">
        <v>564</v>
      </c>
      <c r="M1190" s="217">
        <v>1</v>
      </c>
      <c r="N1190" s="208" t="s">
        <v>81</v>
      </c>
      <c r="O1190" s="218">
        <v>0.5</v>
      </c>
      <c r="P1190" s="208" t="s">
        <v>112</v>
      </c>
      <c r="Q1190" s="240">
        <f t="shared" si="457"/>
        <v>0.5</v>
      </c>
      <c r="R1190" s="239">
        <v>1</v>
      </c>
      <c r="S1190" s="240">
        <f t="shared" si="453"/>
        <v>1.5</v>
      </c>
      <c r="T1190" s="216" t="s">
        <v>48</v>
      </c>
      <c r="U1190" s="196" t="str">
        <f t="shared" si="450"/>
        <v>1.5 Hrs</v>
      </c>
    </row>
    <row r="1191" spans="3:21" s="185" customFormat="1" ht="20.25" customHeight="1">
      <c r="C1191" s="198">
        <f>D1191</f>
        <v>1181</v>
      </c>
      <c r="D1191" s="203">
        <f t="shared" si="432"/>
        <v>1181</v>
      </c>
      <c r="E1191" s="204" t="s">
        <v>570</v>
      </c>
      <c r="F1191" s="210">
        <f>D1188</f>
        <v>1178</v>
      </c>
      <c r="G1191" s="206"/>
      <c r="H1191" s="206"/>
      <c r="I1191" s="208"/>
      <c r="J1191" s="208"/>
      <c r="K1191" s="234"/>
      <c r="L1191" s="208"/>
      <c r="M1191" s="217"/>
      <c r="N1191" s="208"/>
      <c r="O1191" s="218"/>
      <c r="P1191" s="208"/>
      <c r="Q1191" s="240"/>
      <c r="R1191" s="239"/>
      <c r="S1191" s="240"/>
      <c r="T1191" s="216"/>
      <c r="U1191" s="196"/>
    </row>
    <row r="1192" spans="3:21" s="185" customFormat="1" ht="20.25" customHeight="1">
      <c r="C1192" s="198"/>
      <c r="D1192" s="203">
        <f t="shared" si="432"/>
        <v>1182</v>
      </c>
      <c r="E1192" s="207" t="s">
        <v>571</v>
      </c>
      <c r="F1192" s="211"/>
      <c r="G1192" s="206" t="s">
        <v>37</v>
      </c>
      <c r="H1192" s="206"/>
      <c r="I1192" s="224" t="s">
        <v>560</v>
      </c>
      <c r="J1192" s="208" t="str">
        <f>J1190</f>
        <v>40NB</v>
      </c>
      <c r="K1192" s="234">
        <v>1</v>
      </c>
      <c r="L1192" s="208" t="s">
        <v>81</v>
      </c>
      <c r="M1192" s="217">
        <v>1</v>
      </c>
      <c r="N1192" s="208" t="s">
        <v>81</v>
      </c>
      <c r="O1192" s="218">
        <v>0.5</v>
      </c>
      <c r="P1192" s="208" t="s">
        <v>112</v>
      </c>
      <c r="Q1192" s="240">
        <f t="shared" ref="Q1192:Q1197" si="459">M1192*O1192</f>
        <v>0.5</v>
      </c>
      <c r="R1192" s="239">
        <v>1</v>
      </c>
      <c r="S1192" s="240">
        <f t="shared" si="453"/>
        <v>1.5</v>
      </c>
      <c r="T1192" s="216" t="s">
        <v>48</v>
      </c>
      <c r="U1192" s="196" t="str">
        <f t="shared" si="450"/>
        <v>1.5 Hrs</v>
      </c>
    </row>
    <row r="1193" spans="3:21" s="185" customFormat="1" ht="20.25" customHeight="1">
      <c r="C1193" s="198"/>
      <c r="D1193" s="203">
        <f t="shared" si="432"/>
        <v>1183</v>
      </c>
      <c r="E1193" s="207" t="s">
        <v>572</v>
      </c>
      <c r="F1193" s="211">
        <f t="shared" ref="F1193:F1197" si="460">D1192</f>
        <v>1182</v>
      </c>
      <c r="G1193" s="206" t="s">
        <v>115</v>
      </c>
      <c r="H1193" s="206"/>
      <c r="I1193" s="224">
        <v>10</v>
      </c>
      <c r="J1193" s="225" t="s">
        <v>573</v>
      </c>
      <c r="K1193" s="234">
        <v>1</v>
      </c>
      <c r="L1193" s="208" t="s">
        <v>39</v>
      </c>
      <c r="M1193" s="227">
        <f t="shared" ref="M1193:M1194" si="461">LEFT(J1193,SEARCH(" ",J1193,1)-1)*K1193*3.142/1000</f>
        <v>0.23565</v>
      </c>
      <c r="N1193" s="208"/>
      <c r="O1193" s="246">
        <f>VLOOKUP(I1193,BM!$A$2:$X$104,17,FALSE)</f>
        <v>1.88</v>
      </c>
      <c r="P1193" s="208" t="s">
        <v>112</v>
      </c>
      <c r="Q1193" s="240">
        <f t="shared" si="459"/>
        <v>0.44302199999999997</v>
      </c>
      <c r="R1193" s="239">
        <v>1</v>
      </c>
      <c r="S1193" s="240">
        <f t="shared" si="453"/>
        <v>1.44</v>
      </c>
      <c r="T1193" s="216" t="s">
        <v>48</v>
      </c>
      <c r="U1193" s="196" t="str">
        <f t="shared" si="450"/>
        <v>1.44 Hrs</v>
      </c>
    </row>
    <row r="1194" spans="3:21" s="185" customFormat="1" ht="20.25" customHeight="1">
      <c r="C1194" s="198"/>
      <c r="D1194" s="203">
        <f t="shared" si="432"/>
        <v>1184</v>
      </c>
      <c r="E1194" s="207" t="s">
        <v>574</v>
      </c>
      <c r="F1194" s="211">
        <f t="shared" si="460"/>
        <v>1183</v>
      </c>
      <c r="G1194" s="206" t="s">
        <v>115</v>
      </c>
      <c r="H1194" s="206"/>
      <c r="I1194" s="224">
        <v>10</v>
      </c>
      <c r="J1194" s="211" t="str">
        <f>J1193</f>
        <v>75 MM</v>
      </c>
      <c r="K1194" s="234">
        <v>1</v>
      </c>
      <c r="L1194" s="208" t="s">
        <v>39</v>
      </c>
      <c r="M1194" s="227">
        <f t="shared" si="461"/>
        <v>0.23565</v>
      </c>
      <c r="N1194" s="208"/>
      <c r="O1194" s="246">
        <f>VLOOKUP(I1194,BM!$A$2:$X$104,17,FALSE)</f>
        <v>1.88</v>
      </c>
      <c r="P1194" s="208" t="s">
        <v>112</v>
      </c>
      <c r="Q1194" s="240">
        <f t="shared" si="459"/>
        <v>0.44302199999999997</v>
      </c>
      <c r="R1194" s="239">
        <v>1</v>
      </c>
      <c r="S1194" s="240">
        <f t="shared" si="453"/>
        <v>1.44</v>
      </c>
      <c r="T1194" s="216" t="s">
        <v>48</v>
      </c>
      <c r="U1194" s="196" t="str">
        <f t="shared" si="450"/>
        <v>1.44 Hrs</v>
      </c>
    </row>
    <row r="1195" spans="3:21" s="185" customFormat="1" ht="20.25" customHeight="1">
      <c r="C1195" s="198"/>
      <c r="D1195" s="203">
        <f t="shared" si="432"/>
        <v>1185</v>
      </c>
      <c r="E1195" s="207" t="s">
        <v>575</v>
      </c>
      <c r="F1195" s="211">
        <f t="shared" si="460"/>
        <v>1184</v>
      </c>
      <c r="G1195" s="206" t="s">
        <v>44</v>
      </c>
      <c r="H1195" s="206"/>
      <c r="I1195" s="208"/>
      <c r="J1195" s="211" t="str">
        <f>J1194</f>
        <v>75 MM</v>
      </c>
      <c r="K1195" s="234">
        <v>2</v>
      </c>
      <c r="L1195" s="208" t="s">
        <v>39</v>
      </c>
      <c r="M1195" s="217">
        <v>2</v>
      </c>
      <c r="N1195" s="208"/>
      <c r="O1195" s="218">
        <v>0.5</v>
      </c>
      <c r="P1195" s="208" t="s">
        <v>112</v>
      </c>
      <c r="Q1195" s="240">
        <f t="shared" si="459"/>
        <v>1</v>
      </c>
      <c r="R1195" s="239">
        <v>1</v>
      </c>
      <c r="S1195" s="240">
        <f t="shared" si="453"/>
        <v>2</v>
      </c>
      <c r="T1195" s="216" t="s">
        <v>48</v>
      </c>
      <c r="U1195" s="196" t="str">
        <f t="shared" si="450"/>
        <v>2 Hrs</v>
      </c>
    </row>
    <row r="1196" spans="3:21" s="185" customFormat="1" ht="20.25" customHeight="1">
      <c r="C1196" s="198"/>
      <c r="D1196" s="203">
        <f t="shared" si="432"/>
        <v>1186</v>
      </c>
      <c r="E1196" s="207" t="s">
        <v>576</v>
      </c>
      <c r="F1196" s="211">
        <f t="shared" si="460"/>
        <v>1185</v>
      </c>
      <c r="G1196" s="206" t="s">
        <v>115</v>
      </c>
      <c r="H1196" s="206"/>
      <c r="I1196" s="224">
        <v>10</v>
      </c>
      <c r="J1196" s="211" t="str">
        <f>J1195</f>
        <v>75 MM</v>
      </c>
      <c r="K1196" s="234">
        <v>1</v>
      </c>
      <c r="L1196" s="208" t="s">
        <v>39</v>
      </c>
      <c r="M1196" s="227">
        <f t="shared" ref="M1196:M1197" si="462">LEFT(J1196,SEARCH(" ",J1196,1)-1)*K1196*3.142/1000</f>
        <v>0.23565</v>
      </c>
      <c r="N1196" s="208"/>
      <c r="O1196" s="246">
        <f>VLOOKUP(I1196,BM!$A$2:$X$104,17,FALSE)</f>
        <v>1.88</v>
      </c>
      <c r="P1196" s="208" t="s">
        <v>112</v>
      </c>
      <c r="Q1196" s="240">
        <f t="shared" si="459"/>
        <v>0.44302199999999997</v>
      </c>
      <c r="R1196" s="239">
        <v>1</v>
      </c>
      <c r="S1196" s="240">
        <f t="shared" si="453"/>
        <v>1.44</v>
      </c>
      <c r="T1196" s="216" t="s">
        <v>48</v>
      </c>
      <c r="U1196" s="196" t="str">
        <f t="shared" si="450"/>
        <v>1.44 Hrs</v>
      </c>
    </row>
    <row r="1197" spans="3:21" s="185" customFormat="1" ht="20.25" customHeight="1">
      <c r="C1197" s="198"/>
      <c r="D1197" s="203">
        <f t="shared" si="432"/>
        <v>1187</v>
      </c>
      <c r="E1197" s="207" t="s">
        <v>577</v>
      </c>
      <c r="F1197" s="211">
        <f t="shared" si="460"/>
        <v>1186</v>
      </c>
      <c r="G1197" s="206" t="s">
        <v>115</v>
      </c>
      <c r="H1197" s="206"/>
      <c r="I1197" s="224">
        <v>10</v>
      </c>
      <c r="J1197" s="211" t="str">
        <f>J1196</f>
        <v>75 MM</v>
      </c>
      <c r="K1197" s="234">
        <v>1</v>
      </c>
      <c r="L1197" s="208" t="s">
        <v>39</v>
      </c>
      <c r="M1197" s="227">
        <f t="shared" si="462"/>
        <v>0.23565</v>
      </c>
      <c r="N1197" s="208"/>
      <c r="O1197" s="246">
        <f>VLOOKUP(I1197,BM!$A$2:$X$104,17,FALSE)</f>
        <v>1.88</v>
      </c>
      <c r="P1197" s="208" t="s">
        <v>112</v>
      </c>
      <c r="Q1197" s="240">
        <f t="shared" si="459"/>
        <v>0.44302199999999997</v>
      </c>
      <c r="R1197" s="239">
        <v>1</v>
      </c>
      <c r="S1197" s="240">
        <f t="shared" si="453"/>
        <v>1.44</v>
      </c>
      <c r="T1197" s="216" t="s">
        <v>48</v>
      </c>
      <c r="U1197" s="196" t="str">
        <f t="shared" si="450"/>
        <v>1.44 Hrs</v>
      </c>
    </row>
    <row r="1198" spans="3:21" s="185" customFormat="1" ht="20.25" customHeight="1">
      <c r="C1198" s="198">
        <f>D1198</f>
        <v>1188</v>
      </c>
      <c r="D1198" s="203">
        <f t="shared" si="432"/>
        <v>1188</v>
      </c>
      <c r="E1198" s="204" t="s">
        <v>578</v>
      </c>
      <c r="F1198" s="210">
        <f>D1191</f>
        <v>1181</v>
      </c>
      <c r="G1198" s="206"/>
      <c r="H1198" s="206"/>
      <c r="I1198" s="208"/>
      <c r="J1198" s="208"/>
      <c r="K1198" s="234"/>
      <c r="L1198" s="208"/>
      <c r="M1198" s="217"/>
      <c r="N1198" s="208"/>
      <c r="O1198" s="218"/>
      <c r="P1198" s="208"/>
      <c r="Q1198" s="240"/>
      <c r="R1198" s="239"/>
      <c r="S1198" s="240"/>
      <c r="T1198" s="216"/>
      <c r="U1198" s="196"/>
    </row>
    <row r="1199" spans="3:21" s="185" customFormat="1" ht="20.25" customHeight="1">
      <c r="C1199" s="198"/>
      <c r="D1199" s="203">
        <f t="shared" si="432"/>
        <v>1189</v>
      </c>
      <c r="E1199" s="207" t="s">
        <v>579</v>
      </c>
      <c r="F1199" s="211"/>
      <c r="G1199" s="206" t="s">
        <v>149</v>
      </c>
      <c r="H1199" s="206"/>
      <c r="I1199" s="224">
        <v>20</v>
      </c>
      <c r="J1199" s="225" t="str">
        <f>J1190</f>
        <v>40NB</v>
      </c>
      <c r="K1199" s="234">
        <v>1</v>
      </c>
      <c r="L1199" s="208" t="s">
        <v>39</v>
      </c>
      <c r="M1199" s="217">
        <v>1</v>
      </c>
      <c r="N1199" s="208" t="s">
        <v>564</v>
      </c>
      <c r="O1199" s="246">
        <f>VLOOKUP(I1199,BM!$A$2:$X$104,23,FALSE)</f>
        <v>8</v>
      </c>
      <c r="P1199" s="208" t="s">
        <v>112</v>
      </c>
      <c r="Q1199" s="240">
        <f t="shared" ref="Q1199:Q1200" si="463">M1199*O1199</f>
        <v>8</v>
      </c>
      <c r="R1199" s="239">
        <v>1</v>
      </c>
      <c r="S1199" s="240">
        <f t="shared" si="453"/>
        <v>9</v>
      </c>
      <c r="T1199" s="216" t="s">
        <v>48</v>
      </c>
      <c r="U1199" s="196" t="str">
        <f t="shared" si="450"/>
        <v>9 Hrs</v>
      </c>
    </row>
    <row r="1200" spans="3:21" s="185" customFormat="1" ht="20.25" customHeight="1">
      <c r="C1200" s="198"/>
      <c r="D1200" s="203">
        <f t="shared" si="432"/>
        <v>1190</v>
      </c>
      <c r="E1200" s="207" t="s">
        <v>580</v>
      </c>
      <c r="F1200" s="211">
        <f t="shared" ref="F1200" si="464">D1199</f>
        <v>1189</v>
      </c>
      <c r="G1200" s="206" t="s">
        <v>63</v>
      </c>
      <c r="H1200" s="206"/>
      <c r="I1200" s="224" t="s">
        <v>581</v>
      </c>
      <c r="J1200" s="211" t="str">
        <f>J1190</f>
        <v>40NB</v>
      </c>
      <c r="K1200" s="234">
        <v>1</v>
      </c>
      <c r="L1200" s="208" t="s">
        <v>485</v>
      </c>
      <c r="M1200" s="217">
        <v>1</v>
      </c>
      <c r="N1200" s="208" t="s">
        <v>39</v>
      </c>
      <c r="O1200" s="218">
        <v>1</v>
      </c>
      <c r="P1200" s="208" t="s">
        <v>41</v>
      </c>
      <c r="Q1200" s="240">
        <f t="shared" si="463"/>
        <v>1</v>
      </c>
      <c r="R1200" s="239"/>
      <c r="S1200" s="240">
        <f t="shared" si="453"/>
        <v>1</v>
      </c>
      <c r="T1200" s="216" t="s">
        <v>48</v>
      </c>
      <c r="U1200" s="196" t="str">
        <f t="shared" si="450"/>
        <v>1 Hrs</v>
      </c>
    </row>
    <row r="1201" spans="3:21" s="185" customFormat="1" ht="20.25" customHeight="1">
      <c r="C1201" s="198">
        <f t="shared" ref="C1201:C1202" si="465">D1201</f>
        <v>1191</v>
      </c>
      <c r="D1201" s="203">
        <f t="shared" si="432"/>
        <v>1191</v>
      </c>
      <c r="E1201" s="247" t="s">
        <v>582</v>
      </c>
      <c r="F1201" s="210"/>
      <c r="G1201" s="206"/>
      <c r="H1201" s="206"/>
      <c r="I1201" s="208"/>
      <c r="J1201" s="208"/>
      <c r="K1201" s="234"/>
      <c r="L1201" s="208"/>
      <c r="M1201" s="217"/>
      <c r="N1201" s="208"/>
      <c r="O1201" s="218"/>
      <c r="P1201" s="208"/>
      <c r="Q1201" s="240"/>
      <c r="R1201" s="239"/>
      <c r="S1201" s="240"/>
      <c r="T1201" s="216"/>
      <c r="U1201" s="196"/>
    </row>
    <row r="1202" spans="3:21" s="185" customFormat="1" ht="20.25" customHeight="1">
      <c r="C1202" s="198">
        <f t="shared" si="465"/>
        <v>1192</v>
      </c>
      <c r="D1202" s="203">
        <f t="shared" si="432"/>
        <v>1192</v>
      </c>
      <c r="E1202" s="204" t="s">
        <v>583</v>
      </c>
      <c r="F1202" s="210">
        <f>13</f>
        <v>13</v>
      </c>
      <c r="G1202" s="206"/>
      <c r="H1202" s="206"/>
      <c r="I1202" s="208"/>
      <c r="J1202" s="208"/>
      <c r="K1202" s="234"/>
      <c r="L1202" s="208"/>
      <c r="M1202" s="217"/>
      <c r="N1202" s="208"/>
      <c r="O1202" s="218"/>
      <c r="P1202" s="208"/>
      <c r="Q1202" s="240"/>
      <c r="R1202" s="239"/>
      <c r="S1202" s="240"/>
      <c r="T1202" s="216"/>
      <c r="U1202" s="196"/>
    </row>
    <row r="1203" spans="3:21" s="185" customFormat="1" ht="20.25" customHeight="1">
      <c r="C1203" s="198"/>
      <c r="D1203" s="203">
        <f t="shared" si="432"/>
        <v>1193</v>
      </c>
      <c r="E1203" s="207" t="s">
        <v>584</v>
      </c>
      <c r="F1203" s="211"/>
      <c r="G1203" s="206" t="s">
        <v>37</v>
      </c>
      <c r="H1203" s="206"/>
      <c r="I1203" s="208"/>
      <c r="J1203" s="208"/>
      <c r="K1203" s="234">
        <v>1</v>
      </c>
      <c r="L1203" s="208" t="s">
        <v>39</v>
      </c>
      <c r="M1203" s="217">
        <v>1</v>
      </c>
      <c r="N1203" s="208"/>
      <c r="O1203" s="218">
        <v>4</v>
      </c>
      <c r="P1203" s="208" t="s">
        <v>41</v>
      </c>
      <c r="Q1203" s="240">
        <f t="shared" ref="Q1203:Q1207" si="466">M1203*O1203</f>
        <v>4</v>
      </c>
      <c r="R1203" s="239"/>
      <c r="S1203" s="240">
        <f t="shared" si="453"/>
        <v>4</v>
      </c>
      <c r="T1203" s="216" t="s">
        <v>42</v>
      </c>
      <c r="U1203" s="196" t="str">
        <f t="shared" si="450"/>
        <v>4 Days</v>
      </c>
    </row>
    <row r="1204" spans="3:21" s="185" customFormat="1" ht="20.25" customHeight="1">
      <c r="C1204" s="198"/>
      <c r="D1204" s="203">
        <f t="shared" si="432"/>
        <v>1194</v>
      </c>
      <c r="E1204" s="207" t="s">
        <v>585</v>
      </c>
      <c r="F1204" s="211">
        <f t="shared" ref="F1204:F1207" si="467">D1203</f>
        <v>1193</v>
      </c>
      <c r="G1204" s="206" t="s">
        <v>44</v>
      </c>
      <c r="H1204" s="206"/>
      <c r="I1204" s="224">
        <v>50</v>
      </c>
      <c r="J1204" s="234" t="s">
        <v>586</v>
      </c>
      <c r="K1204" s="234">
        <v>1</v>
      </c>
      <c r="L1204" s="208" t="s">
        <v>81</v>
      </c>
      <c r="M1204" s="227">
        <f>LEFT(J1204,SEARCH(" ",J1204,1)-1)*1.28*3.142/1000</f>
        <v>6.2337280000000002</v>
      </c>
      <c r="N1204" s="208" t="s">
        <v>139</v>
      </c>
      <c r="O1204" s="246">
        <f>VLOOKUP(I1204,BM!$A$2:$X$104,2,FALSE)</f>
        <v>0.1</v>
      </c>
      <c r="P1204" s="208" t="s">
        <v>112</v>
      </c>
      <c r="Q1204" s="240">
        <f t="shared" si="466"/>
        <v>0.62337280000000006</v>
      </c>
      <c r="R1204" s="239">
        <v>1</v>
      </c>
      <c r="S1204" s="240">
        <f t="shared" si="453"/>
        <v>1.62</v>
      </c>
      <c r="T1204" s="216" t="s">
        <v>48</v>
      </c>
      <c r="U1204" s="196" t="str">
        <f t="shared" si="450"/>
        <v>1.62 Hrs</v>
      </c>
    </row>
    <row r="1205" spans="3:21" s="185" customFormat="1" ht="20.25" customHeight="1">
      <c r="C1205" s="198"/>
      <c r="D1205" s="203">
        <f t="shared" si="432"/>
        <v>1195</v>
      </c>
      <c r="E1205" s="207" t="s">
        <v>587</v>
      </c>
      <c r="F1205" s="211">
        <f t="shared" si="467"/>
        <v>1194</v>
      </c>
      <c r="G1205" s="206" t="s">
        <v>44</v>
      </c>
      <c r="H1205" s="206"/>
      <c r="I1205" s="233">
        <v>50</v>
      </c>
      <c r="J1205" s="234" t="s">
        <v>586</v>
      </c>
      <c r="K1205" s="234">
        <v>1</v>
      </c>
      <c r="L1205" s="208" t="s">
        <v>81</v>
      </c>
      <c r="M1205" s="235">
        <v>1</v>
      </c>
      <c r="N1205" s="208" t="s">
        <v>81</v>
      </c>
      <c r="O1205" s="246">
        <v>1</v>
      </c>
      <c r="P1205" s="208" t="s">
        <v>162</v>
      </c>
      <c r="Q1205" s="240">
        <f t="shared" si="466"/>
        <v>1</v>
      </c>
      <c r="R1205" s="239">
        <v>1</v>
      </c>
      <c r="S1205" s="240">
        <f t="shared" si="453"/>
        <v>2</v>
      </c>
      <c r="T1205" s="216" t="s">
        <v>48</v>
      </c>
      <c r="U1205" s="196" t="str">
        <f t="shared" si="450"/>
        <v>2 Hrs</v>
      </c>
    </row>
    <row r="1206" spans="3:21" s="185" customFormat="1" ht="20.25" customHeight="1">
      <c r="C1206" s="198"/>
      <c r="D1206" s="203">
        <f t="shared" si="432"/>
        <v>1196</v>
      </c>
      <c r="E1206" s="207" t="s">
        <v>588</v>
      </c>
      <c r="F1206" s="211">
        <f t="shared" si="467"/>
        <v>1195</v>
      </c>
      <c r="G1206" s="206" t="s">
        <v>52</v>
      </c>
      <c r="H1206" s="206"/>
      <c r="I1206" s="233">
        <v>50</v>
      </c>
      <c r="J1206" s="234" t="s">
        <v>586</v>
      </c>
      <c r="K1206" s="234">
        <v>1</v>
      </c>
      <c r="L1206" s="208" t="s">
        <v>81</v>
      </c>
      <c r="M1206" s="227">
        <f>LEFT(J1206,SEARCH(" ",J1206,1)-1)*1.28*3.142/1000</f>
        <v>6.2337280000000002</v>
      </c>
      <c r="N1206" s="208" t="s">
        <v>139</v>
      </c>
      <c r="O1206" s="246">
        <f>VLOOKUP(I1206,BM!$A$2:$X$104,3,FALSE)</f>
        <v>0.25</v>
      </c>
      <c r="P1206" s="208" t="s">
        <v>112</v>
      </c>
      <c r="Q1206" s="240">
        <f t="shared" si="466"/>
        <v>1.558432</v>
      </c>
      <c r="R1206" s="239">
        <v>1</v>
      </c>
      <c r="S1206" s="240">
        <f t="shared" si="453"/>
        <v>2.56</v>
      </c>
      <c r="T1206" s="216" t="s">
        <v>48</v>
      </c>
      <c r="U1206" s="196" t="str">
        <f t="shared" si="450"/>
        <v>2.56 Hrs</v>
      </c>
    </row>
    <row r="1207" spans="3:21" s="185" customFormat="1" ht="20.25" customHeight="1">
      <c r="C1207" s="198"/>
      <c r="D1207" s="203">
        <f t="shared" si="432"/>
        <v>1197</v>
      </c>
      <c r="E1207" s="207" t="s">
        <v>589</v>
      </c>
      <c r="F1207" s="211">
        <f t="shared" si="467"/>
        <v>1196</v>
      </c>
      <c r="G1207" s="206" t="s">
        <v>61</v>
      </c>
      <c r="H1207" s="206"/>
      <c r="I1207" s="233">
        <f>I1204</f>
        <v>50</v>
      </c>
      <c r="J1207" s="234" t="s">
        <v>586</v>
      </c>
      <c r="K1207" s="234">
        <v>1</v>
      </c>
      <c r="L1207" s="208" t="s">
        <v>81</v>
      </c>
      <c r="M1207" s="227">
        <f>LEFT(J1207,SEARCH(" ",J1207,1)-1)*1.28*3.142/1000</f>
        <v>6.2337280000000002</v>
      </c>
      <c r="N1207" s="208" t="s">
        <v>139</v>
      </c>
      <c r="O1207" s="246">
        <f>VLOOKUP(I1207,BM!$A$2:$X$104,6,FALSE)</f>
        <v>1</v>
      </c>
      <c r="P1207" s="208" t="s">
        <v>112</v>
      </c>
      <c r="Q1207" s="240">
        <f t="shared" si="466"/>
        <v>6.2337280000000002</v>
      </c>
      <c r="R1207" s="239">
        <v>1</v>
      </c>
      <c r="S1207" s="240">
        <f t="shared" si="453"/>
        <v>7.23</v>
      </c>
      <c r="T1207" s="216" t="s">
        <v>48</v>
      </c>
      <c r="U1207" s="196" t="str">
        <f t="shared" si="450"/>
        <v>7.23 Hrs</v>
      </c>
    </row>
    <row r="1208" spans="3:21" s="185" customFormat="1" ht="20.25" customHeight="1">
      <c r="C1208" s="198">
        <f>D1208</f>
        <v>1198</v>
      </c>
      <c r="D1208" s="203">
        <f t="shared" si="432"/>
        <v>1198</v>
      </c>
      <c r="E1208" s="204" t="s">
        <v>590</v>
      </c>
      <c r="F1208" s="210">
        <f>D1202</f>
        <v>1192</v>
      </c>
      <c r="G1208" s="206"/>
      <c r="H1208" s="206"/>
      <c r="I1208" s="208"/>
      <c r="J1208" s="208"/>
      <c r="K1208" s="234"/>
      <c r="L1208" s="208"/>
      <c r="M1208" s="217"/>
      <c r="N1208" s="208"/>
      <c r="O1208" s="218"/>
      <c r="P1208" s="208"/>
      <c r="Q1208" s="240"/>
      <c r="R1208" s="239"/>
      <c r="S1208" s="240"/>
      <c r="T1208" s="216"/>
      <c r="U1208" s="196"/>
    </row>
    <row r="1209" spans="3:21" s="185" customFormat="1" ht="20.25" customHeight="1">
      <c r="C1209" s="198"/>
      <c r="D1209" s="203">
        <f t="shared" si="432"/>
        <v>1199</v>
      </c>
      <c r="E1209" s="207" t="s">
        <v>591</v>
      </c>
      <c r="F1209" s="211">
        <f t="shared" ref="F1209:F1210" si="468">D1208</f>
        <v>1198</v>
      </c>
      <c r="G1209" s="206" t="s">
        <v>55</v>
      </c>
      <c r="H1209" s="206"/>
      <c r="I1209" s="233">
        <f>I1207</f>
        <v>50</v>
      </c>
      <c r="J1209" s="234" t="str">
        <f>J1206</f>
        <v>1550 mm id</v>
      </c>
      <c r="K1209" s="234">
        <v>1</v>
      </c>
      <c r="L1209" s="208" t="s">
        <v>81</v>
      </c>
      <c r="M1209" s="217">
        <v>1</v>
      </c>
      <c r="N1209" s="208" t="s">
        <v>39</v>
      </c>
      <c r="O1209" s="218">
        <v>10</v>
      </c>
      <c r="P1209" s="208" t="s">
        <v>41</v>
      </c>
      <c r="Q1209" s="240">
        <f t="shared" ref="Q1209:Q1210" si="469">M1209*O1209</f>
        <v>10</v>
      </c>
      <c r="R1209" s="239"/>
      <c r="S1209" s="240">
        <f t="shared" si="453"/>
        <v>10</v>
      </c>
      <c r="T1209" s="216" t="s">
        <v>42</v>
      </c>
      <c r="U1209" s="196" t="str">
        <f t="shared" si="450"/>
        <v>10 Days</v>
      </c>
    </row>
    <row r="1210" spans="3:21" s="185" customFormat="1" ht="20.25" customHeight="1">
      <c r="C1210" s="198"/>
      <c r="D1210" s="203">
        <f t="shared" si="432"/>
        <v>1200</v>
      </c>
      <c r="E1210" s="207" t="s">
        <v>592</v>
      </c>
      <c r="F1210" s="211">
        <f t="shared" si="468"/>
        <v>1199</v>
      </c>
      <c r="G1210" s="206" t="s">
        <v>44</v>
      </c>
      <c r="H1210" s="206"/>
      <c r="I1210" s="233">
        <f>I1207</f>
        <v>50</v>
      </c>
      <c r="J1210" s="234" t="str">
        <f>J1207</f>
        <v>1550 mm id</v>
      </c>
      <c r="K1210" s="234">
        <v>1</v>
      </c>
      <c r="L1210" s="208" t="s">
        <v>81</v>
      </c>
      <c r="M1210" s="217">
        <v>1</v>
      </c>
      <c r="N1210" s="208" t="s">
        <v>39</v>
      </c>
      <c r="O1210" s="218">
        <v>1</v>
      </c>
      <c r="P1210" s="208" t="s">
        <v>41</v>
      </c>
      <c r="Q1210" s="240">
        <f t="shared" si="469"/>
        <v>1</v>
      </c>
      <c r="R1210" s="239"/>
      <c r="S1210" s="240">
        <f t="shared" si="453"/>
        <v>1</v>
      </c>
      <c r="T1210" s="216" t="s">
        <v>42</v>
      </c>
      <c r="U1210" s="196" t="str">
        <f t="shared" si="450"/>
        <v>1 Days</v>
      </c>
    </row>
    <row r="1211" spans="3:21" s="185" customFormat="1" ht="20.25" customHeight="1">
      <c r="C1211" s="198">
        <f>D1211</f>
        <v>1201</v>
      </c>
      <c r="D1211" s="203">
        <f t="shared" si="432"/>
        <v>1201</v>
      </c>
      <c r="E1211" s="204" t="s">
        <v>593</v>
      </c>
      <c r="F1211" s="210">
        <f>D1208</f>
        <v>1198</v>
      </c>
      <c r="G1211" s="206"/>
      <c r="H1211" s="206"/>
      <c r="I1211" s="208"/>
      <c r="J1211" s="208"/>
      <c r="K1211" s="234"/>
      <c r="L1211" s="208"/>
      <c r="M1211" s="217"/>
      <c r="N1211" s="208"/>
      <c r="O1211" s="218"/>
      <c r="P1211" s="208"/>
      <c r="Q1211" s="240"/>
      <c r="R1211" s="239"/>
      <c r="S1211" s="240"/>
      <c r="T1211" s="216"/>
      <c r="U1211" s="196"/>
    </row>
    <row r="1212" spans="3:21" s="185" customFormat="1" ht="20.25" customHeight="1">
      <c r="C1212" s="198"/>
      <c r="D1212" s="203">
        <f t="shared" si="432"/>
        <v>1202</v>
      </c>
      <c r="E1212" s="207" t="s">
        <v>594</v>
      </c>
      <c r="F1212" s="211">
        <f t="shared" ref="F1212:F1213" si="470">D1211</f>
        <v>1201</v>
      </c>
      <c r="G1212" s="206" t="s">
        <v>44</v>
      </c>
      <c r="H1212" s="206"/>
      <c r="I1212" s="233">
        <f>I1210</f>
        <v>50</v>
      </c>
      <c r="J1212" s="234" t="str">
        <f>J1210</f>
        <v>1550 mm id</v>
      </c>
      <c r="K1212" s="234">
        <v>1</v>
      </c>
      <c r="L1212" s="208" t="s">
        <v>81</v>
      </c>
      <c r="M1212" s="217">
        <v>1</v>
      </c>
      <c r="N1212" s="208" t="s">
        <v>39</v>
      </c>
      <c r="O1212" s="218">
        <v>4</v>
      </c>
      <c r="P1212" s="208" t="s">
        <v>595</v>
      </c>
      <c r="Q1212" s="240">
        <f t="shared" ref="Q1212:Q1213" si="471">M1212*O1212</f>
        <v>4</v>
      </c>
      <c r="R1212" s="239"/>
      <c r="S1212" s="240">
        <f t="shared" si="453"/>
        <v>4</v>
      </c>
      <c r="T1212" s="216" t="s">
        <v>48</v>
      </c>
      <c r="U1212" s="196" t="str">
        <f t="shared" si="450"/>
        <v>4 Hrs</v>
      </c>
    </row>
    <row r="1213" spans="3:21" s="185" customFormat="1" ht="20.25" customHeight="1">
      <c r="C1213" s="198"/>
      <c r="D1213" s="203">
        <f t="shared" si="432"/>
        <v>1203</v>
      </c>
      <c r="E1213" s="207" t="s">
        <v>593</v>
      </c>
      <c r="F1213" s="211">
        <f t="shared" si="470"/>
        <v>1202</v>
      </c>
      <c r="G1213" s="206" t="s">
        <v>52</v>
      </c>
      <c r="H1213" s="206"/>
      <c r="I1213" s="233">
        <f>I1210</f>
        <v>50</v>
      </c>
      <c r="J1213" s="234" t="str">
        <f>J1210</f>
        <v>1550 mm id</v>
      </c>
      <c r="K1213" s="234">
        <v>1</v>
      </c>
      <c r="L1213" s="208" t="s">
        <v>81</v>
      </c>
      <c r="M1213" s="227">
        <f>LEFT(J1213,SEARCH(" ",J1213,1)-1)*1.28*3.142/1000</f>
        <v>6.2337280000000002</v>
      </c>
      <c r="N1213" s="208" t="s">
        <v>249</v>
      </c>
      <c r="O1213" s="246">
        <f>VLOOKUP(I1213,BM!$A$2:$X$104,2,FALSE)</f>
        <v>0.1</v>
      </c>
      <c r="P1213" s="208" t="s">
        <v>112</v>
      </c>
      <c r="Q1213" s="240">
        <f t="shared" si="471"/>
        <v>0.62337280000000006</v>
      </c>
      <c r="R1213" s="239">
        <v>2</v>
      </c>
      <c r="S1213" s="240">
        <f t="shared" si="453"/>
        <v>2.62</v>
      </c>
      <c r="T1213" s="216" t="s">
        <v>48</v>
      </c>
      <c r="U1213" s="196" t="str">
        <f t="shared" si="450"/>
        <v>2.62 Hrs</v>
      </c>
    </row>
    <row r="1214" spans="3:21" s="185" customFormat="1" ht="20.25" customHeight="1">
      <c r="C1214" s="198">
        <f>D1214</f>
        <v>1204</v>
      </c>
      <c r="D1214" s="203">
        <f t="shared" si="432"/>
        <v>1204</v>
      </c>
      <c r="E1214" s="204" t="s">
        <v>596</v>
      </c>
      <c r="F1214" s="210">
        <f>D1211</f>
        <v>1201</v>
      </c>
      <c r="G1214" s="206"/>
      <c r="H1214" s="206"/>
      <c r="I1214" s="208"/>
      <c r="J1214" s="208"/>
      <c r="K1214" s="234"/>
      <c r="L1214" s="208"/>
      <c r="M1214" s="217"/>
      <c r="N1214" s="208"/>
      <c r="O1214" s="218"/>
      <c r="P1214" s="208"/>
      <c r="Q1214" s="240"/>
      <c r="R1214" s="239"/>
      <c r="S1214" s="240"/>
      <c r="T1214" s="216"/>
      <c r="U1214" s="196"/>
    </row>
    <row r="1215" spans="3:21" s="185" customFormat="1" ht="20.25" customHeight="1">
      <c r="C1215" s="198"/>
      <c r="D1215" s="203">
        <f t="shared" si="432"/>
        <v>1205</v>
      </c>
      <c r="E1215" s="207" t="s">
        <v>597</v>
      </c>
      <c r="F1215" s="211">
        <f t="shared" ref="F1215" si="472">D1214</f>
        <v>1204</v>
      </c>
      <c r="G1215" s="206" t="s">
        <v>121</v>
      </c>
      <c r="H1215" s="206"/>
      <c r="I1215" s="233">
        <v>25</v>
      </c>
      <c r="J1215" s="234" t="str">
        <f>J1213</f>
        <v>1550 mm id</v>
      </c>
      <c r="K1215" s="234">
        <v>1</v>
      </c>
      <c r="L1215" s="208" t="s">
        <v>81</v>
      </c>
      <c r="M1215" s="227">
        <f>LEFT(J1215,SEARCH(" ",J1215,1)-1)*1.28*3.142/1000</f>
        <v>6.2337280000000002</v>
      </c>
      <c r="N1215" s="208" t="s">
        <v>249</v>
      </c>
      <c r="O1215" s="246">
        <f>VLOOKUP(I1215,BM!$A$2:$X$104,6,FALSE)</f>
        <v>1</v>
      </c>
      <c r="P1215" s="208" t="s">
        <v>112</v>
      </c>
      <c r="Q1215" s="240">
        <f t="shared" ref="Q1215" si="473">M1215*O1215</f>
        <v>6.2337280000000002</v>
      </c>
      <c r="R1215" s="239">
        <v>2</v>
      </c>
      <c r="S1215" s="240">
        <f t="shared" si="453"/>
        <v>8.23</v>
      </c>
      <c r="T1215" s="216" t="s">
        <v>48</v>
      </c>
      <c r="U1215" s="196" t="str">
        <f t="shared" si="450"/>
        <v>8.23 Hrs</v>
      </c>
    </row>
    <row r="1216" spans="3:21" s="185" customFormat="1" ht="20.25" customHeight="1">
      <c r="C1216" s="198">
        <f>D1216</f>
        <v>1206</v>
      </c>
      <c r="D1216" s="203">
        <f t="shared" si="432"/>
        <v>1206</v>
      </c>
      <c r="E1216" s="204" t="s">
        <v>598</v>
      </c>
      <c r="F1216" s="210"/>
      <c r="G1216" s="206"/>
      <c r="H1216" s="206"/>
      <c r="I1216" s="208"/>
      <c r="J1216" s="208"/>
      <c r="K1216" s="234"/>
      <c r="L1216" s="208"/>
      <c r="M1216" s="217"/>
      <c r="N1216" s="208"/>
      <c r="O1216" s="218"/>
      <c r="P1216" s="208"/>
      <c r="Q1216" s="240"/>
      <c r="R1216" s="239"/>
      <c r="S1216" s="240"/>
      <c r="T1216" s="216"/>
      <c r="U1216" s="196"/>
    </row>
    <row r="1217" spans="3:21" s="185" customFormat="1" ht="20.25" customHeight="1">
      <c r="C1217" s="198"/>
      <c r="D1217" s="203">
        <f t="shared" si="432"/>
        <v>1207</v>
      </c>
      <c r="E1217" s="207" t="s">
        <v>598</v>
      </c>
      <c r="F1217" s="211">
        <f t="shared" ref="F1217" si="474">D1216</f>
        <v>1206</v>
      </c>
      <c r="G1217" s="206" t="s">
        <v>111</v>
      </c>
      <c r="H1217" s="206"/>
      <c r="I1217" s="233">
        <f>I1215</f>
        <v>25</v>
      </c>
      <c r="J1217" s="234" t="str">
        <f>J1215</f>
        <v>1550 mm id</v>
      </c>
      <c r="K1217" s="234">
        <v>1</v>
      </c>
      <c r="L1217" s="208" t="s">
        <v>81</v>
      </c>
      <c r="M1217" s="227">
        <f>LEFT(J1217,SEARCH(" ",J1217,1)-1)*1.28*3.142/1000</f>
        <v>6.2337280000000002</v>
      </c>
      <c r="N1217" s="208" t="s">
        <v>249</v>
      </c>
      <c r="O1217" s="246">
        <f>VLOOKUP(I1217,BM!$A$2:$X$104,15,FALSE)</f>
        <v>1</v>
      </c>
      <c r="P1217" s="208" t="s">
        <v>112</v>
      </c>
      <c r="Q1217" s="240">
        <f t="shared" ref="Q1217" si="475">M1217*O1217</f>
        <v>6.2337280000000002</v>
      </c>
      <c r="R1217" s="239">
        <v>2</v>
      </c>
      <c r="S1217" s="240">
        <f t="shared" si="453"/>
        <v>8.23</v>
      </c>
      <c r="T1217" s="216" t="s">
        <v>48</v>
      </c>
      <c r="U1217" s="196" t="str">
        <f t="shared" si="450"/>
        <v>8.23 Hrs</v>
      </c>
    </row>
    <row r="1218" spans="3:21" s="185" customFormat="1" ht="20.25" customHeight="1">
      <c r="C1218" s="198">
        <f>D1218</f>
        <v>1208</v>
      </c>
      <c r="D1218" s="203">
        <f t="shared" si="432"/>
        <v>1208</v>
      </c>
      <c r="E1218" s="204" t="s">
        <v>599</v>
      </c>
      <c r="F1218" s="210">
        <f>D1216</f>
        <v>1206</v>
      </c>
      <c r="G1218" s="206"/>
      <c r="H1218" s="206"/>
      <c r="I1218" s="208"/>
      <c r="J1218" s="208"/>
      <c r="K1218" s="234"/>
      <c r="L1218" s="208"/>
      <c r="M1218" s="217"/>
      <c r="N1218" s="208"/>
      <c r="O1218" s="218"/>
      <c r="P1218" s="208"/>
      <c r="Q1218" s="240"/>
      <c r="R1218" s="239"/>
      <c r="S1218" s="240"/>
      <c r="T1218" s="216"/>
      <c r="U1218" s="196"/>
    </row>
    <row r="1219" spans="3:21" s="185" customFormat="1" ht="20.25" customHeight="1">
      <c r="C1219" s="198"/>
      <c r="D1219" s="203">
        <f t="shared" si="432"/>
        <v>1209</v>
      </c>
      <c r="E1219" s="207" t="s">
        <v>599</v>
      </c>
      <c r="F1219" s="211"/>
      <c r="G1219" s="206" t="s">
        <v>115</v>
      </c>
      <c r="H1219" s="206"/>
      <c r="I1219" s="224">
        <v>30</v>
      </c>
      <c r="J1219" s="234" t="str">
        <f>J1217</f>
        <v>1550 mm id</v>
      </c>
      <c r="K1219" s="234">
        <v>1</v>
      </c>
      <c r="L1219" s="208" t="s">
        <v>81</v>
      </c>
      <c r="M1219" s="227">
        <f>LEFT(J1219,SEARCH(" ",J1219,1)-1)*1.28*3.142/1000</f>
        <v>6.2337280000000002</v>
      </c>
      <c r="N1219" s="208" t="s">
        <v>249</v>
      </c>
      <c r="O1219" s="246">
        <f>VLOOKUP(I1219,BM!$A$2:$X$104,23,FALSE)</f>
        <v>16.8</v>
      </c>
      <c r="P1219" s="208" t="s">
        <v>112</v>
      </c>
      <c r="Q1219" s="240">
        <f t="shared" ref="Q1219:Q1223" si="476">M1219*O1219</f>
        <v>104.7266304</v>
      </c>
      <c r="R1219" s="239">
        <v>2</v>
      </c>
      <c r="S1219" s="240">
        <f t="shared" si="453"/>
        <v>106.73</v>
      </c>
      <c r="T1219" s="216" t="s">
        <v>48</v>
      </c>
      <c r="U1219" s="196" t="str">
        <f t="shared" si="450"/>
        <v>106.73 Hrs</v>
      </c>
    </row>
    <row r="1220" spans="3:21" s="185" customFormat="1" ht="20.25" customHeight="1">
      <c r="C1220" s="198"/>
      <c r="D1220" s="203">
        <f t="shared" ref="D1220:D1283" si="477">D1219+1</f>
        <v>1210</v>
      </c>
      <c r="E1220" s="207" t="s">
        <v>600</v>
      </c>
      <c r="F1220" s="211">
        <f t="shared" ref="F1220:F1223" si="478">D1219</f>
        <v>1209</v>
      </c>
      <c r="G1220" s="206" t="s">
        <v>299</v>
      </c>
      <c r="H1220" s="206"/>
      <c r="I1220" s="224">
        <v>16</v>
      </c>
      <c r="J1220" s="208" t="str">
        <f>J1219</f>
        <v>1550 mm id</v>
      </c>
      <c r="K1220" s="234">
        <v>1</v>
      </c>
      <c r="L1220" s="208" t="s">
        <v>81</v>
      </c>
      <c r="M1220" s="217">
        <v>1</v>
      </c>
      <c r="N1220" s="208" t="s">
        <v>39</v>
      </c>
      <c r="O1220" s="218">
        <v>4</v>
      </c>
      <c r="P1220" s="208" t="s">
        <v>112</v>
      </c>
      <c r="Q1220" s="240">
        <f t="shared" si="476"/>
        <v>4</v>
      </c>
      <c r="R1220" s="239">
        <v>1</v>
      </c>
      <c r="S1220" s="240">
        <f t="shared" si="453"/>
        <v>5</v>
      </c>
      <c r="T1220" s="216" t="s">
        <v>48</v>
      </c>
      <c r="U1220" s="196" t="str">
        <f t="shared" si="450"/>
        <v>5 Hrs</v>
      </c>
    </row>
    <row r="1221" spans="3:21" s="185" customFormat="1" ht="20.25" customHeight="1">
      <c r="C1221" s="198"/>
      <c r="D1221" s="203">
        <f t="shared" si="477"/>
        <v>1211</v>
      </c>
      <c r="E1221" s="207" t="s">
        <v>601</v>
      </c>
      <c r="F1221" s="211">
        <f t="shared" si="478"/>
        <v>1210</v>
      </c>
      <c r="G1221" s="206" t="s">
        <v>115</v>
      </c>
      <c r="H1221" s="206"/>
      <c r="I1221" s="224">
        <v>16</v>
      </c>
      <c r="J1221" s="234" t="s">
        <v>602</v>
      </c>
      <c r="K1221" s="234">
        <v>1</v>
      </c>
      <c r="L1221" s="208" t="s">
        <v>81</v>
      </c>
      <c r="M1221" s="227">
        <f>LEFT(J1221,SEARCH(" ",J1221,1)-1)/1000</f>
        <v>3</v>
      </c>
      <c r="N1221" s="208" t="s">
        <v>249</v>
      </c>
      <c r="O1221" s="246">
        <f>VLOOKUP(I1221,BM!$A$2:$X$104,22,FALSE)</f>
        <v>2.8</v>
      </c>
      <c r="P1221" s="208" t="s">
        <v>112</v>
      </c>
      <c r="Q1221" s="240">
        <f t="shared" si="476"/>
        <v>8.3999999999999986</v>
      </c>
      <c r="R1221" s="239">
        <v>2</v>
      </c>
      <c r="S1221" s="240">
        <f t="shared" si="453"/>
        <v>10.4</v>
      </c>
      <c r="T1221" s="216" t="s">
        <v>48</v>
      </c>
      <c r="U1221" s="196" t="str">
        <f t="shared" si="450"/>
        <v>10.4 Hrs</v>
      </c>
    </row>
    <row r="1222" spans="3:21" s="185" customFormat="1" ht="20.25" customHeight="1">
      <c r="C1222" s="198"/>
      <c r="D1222" s="203">
        <f t="shared" si="477"/>
        <v>1212</v>
      </c>
      <c r="E1222" s="207" t="s">
        <v>603</v>
      </c>
      <c r="F1222" s="211">
        <f t="shared" si="478"/>
        <v>1211</v>
      </c>
      <c r="G1222" s="206" t="s">
        <v>44</v>
      </c>
      <c r="H1222" s="206"/>
      <c r="I1222" s="224">
        <v>16</v>
      </c>
      <c r="J1222" s="208" t="str">
        <f>J1221</f>
        <v>3000 mm</v>
      </c>
      <c r="K1222" s="234">
        <v>1</v>
      </c>
      <c r="L1222" s="208" t="s">
        <v>81</v>
      </c>
      <c r="M1222" s="217">
        <v>1</v>
      </c>
      <c r="N1222" s="208" t="s">
        <v>39</v>
      </c>
      <c r="O1222" s="218">
        <v>6</v>
      </c>
      <c r="P1222" s="208" t="s">
        <v>112</v>
      </c>
      <c r="Q1222" s="240">
        <f t="shared" si="476"/>
        <v>6</v>
      </c>
      <c r="R1222" s="239">
        <v>1</v>
      </c>
      <c r="S1222" s="240">
        <f t="shared" si="453"/>
        <v>7</v>
      </c>
      <c r="T1222" s="216" t="s">
        <v>48</v>
      </c>
      <c r="U1222" s="196" t="str">
        <f t="shared" si="450"/>
        <v>7 Hrs</v>
      </c>
    </row>
    <row r="1223" spans="3:21" s="185" customFormat="1" ht="20.25" customHeight="1">
      <c r="C1223" s="198"/>
      <c r="D1223" s="203">
        <f t="shared" si="477"/>
        <v>1213</v>
      </c>
      <c r="E1223" s="207" t="s">
        <v>604</v>
      </c>
      <c r="F1223" s="211">
        <f t="shared" si="478"/>
        <v>1212</v>
      </c>
      <c r="G1223" s="206" t="s">
        <v>63</v>
      </c>
      <c r="H1223" s="206"/>
      <c r="I1223" s="224">
        <v>16</v>
      </c>
      <c r="J1223" s="208" t="str">
        <f>J1222</f>
        <v>3000 mm</v>
      </c>
      <c r="K1223" s="234">
        <v>1</v>
      </c>
      <c r="L1223" s="208" t="s">
        <v>81</v>
      </c>
      <c r="M1223" s="217">
        <v>1</v>
      </c>
      <c r="N1223" s="208" t="s">
        <v>39</v>
      </c>
      <c r="O1223" s="218">
        <v>1</v>
      </c>
      <c r="P1223" s="208" t="s">
        <v>112</v>
      </c>
      <c r="Q1223" s="240">
        <f t="shared" si="476"/>
        <v>1</v>
      </c>
      <c r="R1223" s="239">
        <v>1</v>
      </c>
      <c r="S1223" s="240">
        <f t="shared" si="453"/>
        <v>2</v>
      </c>
      <c r="T1223" s="216" t="s">
        <v>48</v>
      </c>
      <c r="U1223" s="196" t="str">
        <f t="shared" si="450"/>
        <v>2 Hrs</v>
      </c>
    </row>
    <row r="1224" spans="3:21" s="185" customFormat="1" ht="20.25" customHeight="1">
      <c r="C1224" s="198">
        <f>D1224</f>
        <v>1214</v>
      </c>
      <c r="D1224" s="203">
        <f t="shared" si="477"/>
        <v>1214</v>
      </c>
      <c r="E1224" s="204" t="s">
        <v>605</v>
      </c>
      <c r="F1224" s="210">
        <f>D1218</f>
        <v>1208</v>
      </c>
      <c r="G1224" s="206"/>
      <c r="H1224" s="206"/>
      <c r="I1224" s="208"/>
      <c r="J1224" s="208"/>
      <c r="K1224" s="234"/>
      <c r="L1224" s="208"/>
      <c r="M1224" s="217"/>
      <c r="N1224" s="208"/>
      <c r="O1224" s="218"/>
      <c r="P1224" s="208"/>
      <c r="Q1224" s="240"/>
      <c r="R1224" s="239"/>
      <c r="S1224" s="240"/>
      <c r="T1224" s="216"/>
      <c r="U1224" s="196"/>
    </row>
    <row r="1225" spans="3:21" s="185" customFormat="1" ht="20.25" customHeight="1">
      <c r="C1225" s="198"/>
      <c r="D1225" s="203">
        <f t="shared" si="477"/>
        <v>1215</v>
      </c>
      <c r="E1225" s="207" t="s">
        <v>606</v>
      </c>
      <c r="F1225" s="211"/>
      <c r="G1225" s="206" t="s">
        <v>55</v>
      </c>
      <c r="H1225" s="206"/>
      <c r="I1225" s="208"/>
      <c r="J1225" s="234" t="str">
        <f>J1220</f>
        <v>1550 mm id</v>
      </c>
      <c r="K1225" s="234">
        <v>1</v>
      </c>
      <c r="L1225" s="208" t="s">
        <v>81</v>
      </c>
      <c r="M1225" s="217">
        <v>1</v>
      </c>
      <c r="N1225" s="208" t="s">
        <v>39</v>
      </c>
      <c r="O1225" s="218">
        <v>3</v>
      </c>
      <c r="P1225" s="208" t="s">
        <v>41</v>
      </c>
      <c r="Q1225" s="240">
        <f t="shared" ref="Q1225:Q1229" si="479">M1225*O1225</f>
        <v>3</v>
      </c>
      <c r="R1225" s="239">
        <v>0</v>
      </c>
      <c r="S1225" s="240">
        <f t="shared" si="453"/>
        <v>3</v>
      </c>
      <c r="T1225" s="216" t="s">
        <v>48</v>
      </c>
      <c r="U1225" s="196" t="str">
        <f t="shared" si="450"/>
        <v>3 Hrs</v>
      </c>
    </row>
    <row r="1226" spans="3:21" s="185" customFormat="1" ht="20.25" customHeight="1">
      <c r="C1226" s="198"/>
      <c r="D1226" s="203">
        <f t="shared" si="477"/>
        <v>1216</v>
      </c>
      <c r="E1226" s="207" t="s">
        <v>607</v>
      </c>
      <c r="F1226" s="211">
        <f t="shared" ref="F1226:F1229" si="480">D1225</f>
        <v>1215</v>
      </c>
      <c r="G1226" s="206" t="s">
        <v>55</v>
      </c>
      <c r="H1226" s="206"/>
      <c r="I1226" s="208"/>
      <c r="J1226" s="234" t="str">
        <f>J1225</f>
        <v>1550 mm id</v>
      </c>
      <c r="K1226" s="234">
        <v>1</v>
      </c>
      <c r="L1226" s="208" t="s">
        <v>81</v>
      </c>
      <c r="M1226" s="217">
        <v>1</v>
      </c>
      <c r="N1226" s="208" t="s">
        <v>39</v>
      </c>
      <c r="O1226" s="218">
        <v>4</v>
      </c>
      <c r="P1226" s="208" t="s">
        <v>41</v>
      </c>
      <c r="Q1226" s="240">
        <f t="shared" si="479"/>
        <v>4</v>
      </c>
      <c r="R1226" s="239">
        <v>0</v>
      </c>
      <c r="S1226" s="240">
        <f t="shared" si="453"/>
        <v>4</v>
      </c>
      <c r="T1226" s="216" t="s">
        <v>48</v>
      </c>
      <c r="U1226" s="196" t="str">
        <f t="shared" si="450"/>
        <v>4 Hrs</v>
      </c>
    </row>
    <row r="1227" spans="3:21" s="185" customFormat="1" ht="20.25" customHeight="1">
      <c r="C1227" s="198"/>
      <c r="D1227" s="203">
        <f t="shared" si="477"/>
        <v>1217</v>
      </c>
      <c r="E1227" s="207" t="s">
        <v>608</v>
      </c>
      <c r="F1227" s="211">
        <f t="shared" si="480"/>
        <v>1216</v>
      </c>
      <c r="G1227" s="206" t="s">
        <v>44</v>
      </c>
      <c r="H1227" s="206"/>
      <c r="I1227" s="208"/>
      <c r="J1227" s="234" t="str">
        <f>J1226</f>
        <v>1550 mm id</v>
      </c>
      <c r="K1227" s="234">
        <v>1</v>
      </c>
      <c r="L1227" s="208" t="s">
        <v>81</v>
      </c>
      <c r="M1227" s="217">
        <v>1</v>
      </c>
      <c r="N1227" s="208" t="s">
        <v>39</v>
      </c>
      <c r="O1227" s="218">
        <v>0.5</v>
      </c>
      <c r="P1227" s="208" t="s">
        <v>41</v>
      </c>
      <c r="Q1227" s="240">
        <f t="shared" si="479"/>
        <v>0.5</v>
      </c>
      <c r="R1227" s="239">
        <v>0</v>
      </c>
      <c r="S1227" s="240">
        <f t="shared" si="453"/>
        <v>0.5</v>
      </c>
      <c r="T1227" s="216" t="s">
        <v>48</v>
      </c>
      <c r="U1227" s="196" t="str">
        <f t="shared" si="450"/>
        <v>0.5 Hrs</v>
      </c>
    </row>
    <row r="1228" spans="3:21" s="185" customFormat="1" ht="20.25" customHeight="1">
      <c r="C1228" s="198"/>
      <c r="D1228" s="203">
        <f t="shared" si="477"/>
        <v>1218</v>
      </c>
      <c r="E1228" s="207" t="s">
        <v>609</v>
      </c>
      <c r="F1228" s="211">
        <f t="shared" si="480"/>
        <v>1217</v>
      </c>
      <c r="G1228" s="206" t="s">
        <v>55</v>
      </c>
      <c r="H1228" s="206"/>
      <c r="I1228" s="224" t="s">
        <v>610</v>
      </c>
      <c r="J1228" s="208" t="str">
        <f>J1227</f>
        <v>1550 mm id</v>
      </c>
      <c r="K1228" s="234">
        <v>72</v>
      </c>
      <c r="L1228" s="208" t="s">
        <v>611</v>
      </c>
      <c r="M1228" s="217">
        <v>1</v>
      </c>
      <c r="N1228" s="208" t="s">
        <v>39</v>
      </c>
      <c r="O1228" s="218">
        <v>4</v>
      </c>
      <c r="P1228" s="208" t="s">
        <v>41</v>
      </c>
      <c r="Q1228" s="240">
        <f t="shared" si="479"/>
        <v>4</v>
      </c>
      <c r="R1228" s="239">
        <v>0</v>
      </c>
      <c r="S1228" s="240">
        <f t="shared" si="453"/>
        <v>4</v>
      </c>
      <c r="T1228" s="216" t="s">
        <v>48</v>
      </c>
      <c r="U1228" s="196" t="str">
        <f t="shared" si="450"/>
        <v>4 Hrs</v>
      </c>
    </row>
    <row r="1229" spans="3:21" s="185" customFormat="1" ht="20.25" customHeight="1">
      <c r="C1229" s="198"/>
      <c r="D1229" s="203">
        <f t="shared" si="477"/>
        <v>1219</v>
      </c>
      <c r="E1229" s="207" t="s">
        <v>612</v>
      </c>
      <c r="F1229" s="211">
        <f t="shared" si="480"/>
        <v>1218</v>
      </c>
      <c r="G1229" s="206" t="s">
        <v>44</v>
      </c>
      <c r="H1229" s="206"/>
      <c r="I1229" s="224" t="s">
        <v>610</v>
      </c>
      <c r="J1229" s="208" t="str">
        <f>J1228</f>
        <v>1550 mm id</v>
      </c>
      <c r="K1229" s="234">
        <v>1</v>
      </c>
      <c r="L1229" s="208" t="s">
        <v>39</v>
      </c>
      <c r="M1229" s="217">
        <v>1</v>
      </c>
      <c r="N1229" s="208" t="s">
        <v>39</v>
      </c>
      <c r="O1229" s="218">
        <v>1</v>
      </c>
      <c r="P1229" s="208" t="s">
        <v>41</v>
      </c>
      <c r="Q1229" s="240">
        <f t="shared" si="479"/>
        <v>1</v>
      </c>
      <c r="R1229" s="239">
        <v>0</v>
      </c>
      <c r="S1229" s="240">
        <f t="shared" si="453"/>
        <v>1</v>
      </c>
      <c r="T1229" s="216" t="s">
        <v>48</v>
      </c>
      <c r="U1229" s="196" t="str">
        <f t="shared" si="450"/>
        <v>1 Hrs</v>
      </c>
    </row>
    <row r="1230" spans="3:21" s="185" customFormat="1" ht="20.25" customHeight="1">
      <c r="C1230" s="198">
        <f t="shared" ref="C1230:C1231" si="481">D1230</f>
        <v>1220</v>
      </c>
      <c r="D1230" s="203">
        <f t="shared" si="477"/>
        <v>1220</v>
      </c>
      <c r="E1230" s="251" t="s">
        <v>613</v>
      </c>
      <c r="F1230" s="210"/>
      <c r="G1230" s="206"/>
      <c r="H1230" s="206"/>
      <c r="I1230" s="208"/>
      <c r="J1230" s="208"/>
      <c r="K1230" s="234"/>
      <c r="L1230" s="208"/>
      <c r="M1230" s="217"/>
      <c r="N1230" s="208"/>
      <c r="O1230" s="218"/>
      <c r="P1230" s="208"/>
      <c r="Q1230" s="240"/>
      <c r="R1230" s="239"/>
      <c r="S1230" s="240"/>
      <c r="T1230" s="216"/>
      <c r="U1230" s="196"/>
    </row>
    <row r="1231" spans="3:21" s="185" customFormat="1" ht="20.25" customHeight="1">
      <c r="C1231" s="198">
        <f t="shared" si="481"/>
        <v>1221</v>
      </c>
      <c r="D1231" s="203">
        <f t="shared" si="477"/>
        <v>1221</v>
      </c>
      <c r="E1231" s="204" t="s">
        <v>614</v>
      </c>
      <c r="F1231" s="210"/>
      <c r="G1231" s="206"/>
      <c r="H1231" s="206"/>
      <c r="I1231" s="208"/>
      <c r="J1231" s="208"/>
      <c r="K1231" s="234"/>
      <c r="L1231" s="208"/>
      <c r="M1231" s="217"/>
      <c r="N1231" s="208"/>
      <c r="O1231" s="218"/>
      <c r="P1231" s="208"/>
      <c r="Q1231" s="240"/>
      <c r="R1231" s="239"/>
      <c r="S1231" s="240"/>
      <c r="T1231" s="216"/>
      <c r="U1231" s="196"/>
    </row>
    <row r="1232" spans="3:21" s="185" customFormat="1" ht="20.25" customHeight="1">
      <c r="C1232" s="198"/>
      <c r="D1232" s="203">
        <f t="shared" si="477"/>
        <v>1222</v>
      </c>
      <c r="E1232" s="207" t="s">
        <v>615</v>
      </c>
      <c r="F1232" s="211"/>
      <c r="G1232" s="206" t="s">
        <v>616</v>
      </c>
      <c r="H1232" s="206"/>
      <c r="I1232" s="224" t="s">
        <v>617</v>
      </c>
      <c r="J1232" s="234" t="s">
        <v>618</v>
      </c>
      <c r="K1232" s="234"/>
      <c r="L1232" s="208"/>
      <c r="M1232" s="217">
        <v>1</v>
      </c>
      <c r="N1232" s="208"/>
      <c r="O1232" s="218">
        <v>1.5</v>
      </c>
      <c r="P1232" s="208" t="s">
        <v>41</v>
      </c>
      <c r="Q1232" s="240">
        <f t="shared" ref="Q1232:Q1233" si="482">M1232*O1232</f>
        <v>1.5</v>
      </c>
      <c r="R1232" s="239">
        <v>0</v>
      </c>
      <c r="S1232" s="240">
        <f t="shared" si="453"/>
        <v>1.5</v>
      </c>
      <c r="T1232" s="216" t="s">
        <v>48</v>
      </c>
      <c r="U1232" s="196" t="str">
        <f t="shared" si="450"/>
        <v>1.5 Hrs</v>
      </c>
    </row>
    <row r="1233" spans="3:21" s="185" customFormat="1" ht="20.25" customHeight="1">
      <c r="C1233" s="198"/>
      <c r="D1233" s="203">
        <f t="shared" si="477"/>
        <v>1223</v>
      </c>
      <c r="E1233" s="207" t="s">
        <v>619</v>
      </c>
      <c r="F1233" s="211">
        <f t="shared" ref="F1233" si="483">D1232</f>
        <v>1222</v>
      </c>
      <c r="G1233" s="206" t="s">
        <v>620</v>
      </c>
      <c r="H1233" s="206"/>
      <c r="I1233" s="208"/>
      <c r="J1233" s="234" t="s">
        <v>621</v>
      </c>
      <c r="K1233" s="234">
        <v>1</v>
      </c>
      <c r="L1233" s="208" t="s">
        <v>81</v>
      </c>
      <c r="M1233" s="217">
        <v>19</v>
      </c>
      <c r="N1233" s="208" t="s">
        <v>81</v>
      </c>
      <c r="O1233" s="218">
        <v>0.5</v>
      </c>
      <c r="P1233" s="208" t="s">
        <v>112</v>
      </c>
      <c r="Q1233" s="240">
        <f t="shared" si="482"/>
        <v>9.5</v>
      </c>
      <c r="R1233" s="239">
        <v>1</v>
      </c>
      <c r="S1233" s="240">
        <f t="shared" si="453"/>
        <v>10.5</v>
      </c>
      <c r="T1233" s="216" t="s">
        <v>48</v>
      </c>
      <c r="U1233" s="196" t="str">
        <f t="shared" si="450"/>
        <v>10.5 Hrs</v>
      </c>
    </row>
    <row r="1234" spans="3:21" s="185" customFormat="1" ht="20.25" customHeight="1">
      <c r="C1234" s="198">
        <f>D1234</f>
        <v>1224</v>
      </c>
      <c r="D1234" s="203">
        <f t="shared" si="477"/>
        <v>1224</v>
      </c>
      <c r="E1234" s="204" t="s">
        <v>622</v>
      </c>
      <c r="F1234" s="210">
        <f>D1231</f>
        <v>1221</v>
      </c>
      <c r="G1234" s="206"/>
      <c r="H1234" s="206"/>
      <c r="I1234" s="208"/>
      <c r="J1234" s="208"/>
      <c r="K1234" s="234"/>
      <c r="L1234" s="208"/>
      <c r="M1234" s="217"/>
      <c r="N1234" s="208"/>
      <c r="O1234" s="218"/>
      <c r="P1234" s="208"/>
      <c r="Q1234" s="240"/>
      <c r="R1234" s="239"/>
      <c r="S1234" s="240"/>
      <c r="T1234" s="216"/>
      <c r="U1234" s="196"/>
    </row>
    <row r="1235" spans="3:21" s="185" customFormat="1" ht="20.25" customHeight="1">
      <c r="C1235" s="198"/>
      <c r="D1235" s="203">
        <f t="shared" si="477"/>
        <v>1225</v>
      </c>
      <c r="E1235" s="207" t="s">
        <v>622</v>
      </c>
      <c r="F1235" s="211"/>
      <c r="G1235" s="206" t="s">
        <v>623</v>
      </c>
      <c r="H1235" s="206"/>
      <c r="I1235" s="224" t="s">
        <v>266</v>
      </c>
      <c r="J1235" s="234" t="s">
        <v>624</v>
      </c>
      <c r="K1235" s="234">
        <v>654</v>
      </c>
      <c r="L1235" s="208" t="s">
        <v>81</v>
      </c>
      <c r="M1235" s="235">
        <f>K1235</f>
        <v>654</v>
      </c>
      <c r="N1235" s="208" t="s">
        <v>81</v>
      </c>
      <c r="O1235" s="246">
        <f>1/60*5</f>
        <v>8.3333333333333329E-2</v>
      </c>
      <c r="P1235" s="208" t="s">
        <v>87</v>
      </c>
      <c r="Q1235" s="240">
        <f t="shared" ref="Q1235:Q1237" si="484">M1235*O1235</f>
        <v>54.5</v>
      </c>
      <c r="R1235" s="239">
        <v>1</v>
      </c>
      <c r="S1235" s="240">
        <f t="shared" si="453"/>
        <v>55.5</v>
      </c>
      <c r="T1235" s="216" t="s">
        <v>48</v>
      </c>
      <c r="U1235" s="196" t="str">
        <f t="shared" si="450"/>
        <v>55.5 Hrs</v>
      </c>
    </row>
    <row r="1236" spans="3:21" s="185" customFormat="1" ht="20.25" customHeight="1">
      <c r="C1236" s="198"/>
      <c r="D1236" s="203">
        <f t="shared" si="477"/>
        <v>1226</v>
      </c>
      <c r="E1236" s="207" t="s">
        <v>625</v>
      </c>
      <c r="F1236" s="211">
        <f t="shared" ref="F1236:F1237" si="485">D1235</f>
        <v>1225</v>
      </c>
      <c r="G1236" s="206" t="s">
        <v>626</v>
      </c>
      <c r="H1236" s="206"/>
      <c r="I1236" s="224" t="s">
        <v>266</v>
      </c>
      <c r="J1236" s="234" t="s">
        <v>627</v>
      </c>
      <c r="K1236" s="234">
        <v>14</v>
      </c>
      <c r="L1236" s="208" t="s">
        <v>81</v>
      </c>
      <c r="M1236" s="235">
        <f>K1236</f>
        <v>14</v>
      </c>
      <c r="N1236" s="208" t="s">
        <v>81</v>
      </c>
      <c r="O1236" s="246">
        <v>0.5</v>
      </c>
      <c r="P1236" s="208" t="s">
        <v>87</v>
      </c>
      <c r="Q1236" s="240">
        <f t="shared" si="484"/>
        <v>7</v>
      </c>
      <c r="R1236" s="239">
        <v>1</v>
      </c>
      <c r="S1236" s="240">
        <f t="shared" si="453"/>
        <v>8</v>
      </c>
      <c r="T1236" s="216" t="s">
        <v>48</v>
      </c>
      <c r="U1236" s="196" t="str">
        <f t="shared" si="450"/>
        <v>8 Hrs</v>
      </c>
    </row>
    <row r="1237" spans="3:21" s="185" customFormat="1" ht="20.25" customHeight="1">
      <c r="C1237" s="198"/>
      <c r="D1237" s="203">
        <f t="shared" si="477"/>
        <v>1227</v>
      </c>
      <c r="E1237" s="207" t="s">
        <v>622</v>
      </c>
      <c r="F1237" s="211">
        <f t="shared" si="485"/>
        <v>1226</v>
      </c>
      <c r="G1237" s="206" t="s">
        <v>623</v>
      </c>
      <c r="H1237" s="206"/>
      <c r="I1237" s="224" t="s">
        <v>266</v>
      </c>
      <c r="J1237" s="208" t="str">
        <f>J1235</f>
        <v>7000 lg</v>
      </c>
      <c r="K1237" s="234">
        <v>654</v>
      </c>
      <c r="L1237" s="208" t="s">
        <v>81</v>
      </c>
      <c r="M1237" s="235">
        <f>K1237</f>
        <v>654</v>
      </c>
      <c r="N1237" s="208" t="s">
        <v>81</v>
      </c>
      <c r="O1237" s="246">
        <f>1/60*5</f>
        <v>8.3333333333333329E-2</v>
      </c>
      <c r="P1237" s="208" t="s">
        <v>87</v>
      </c>
      <c r="Q1237" s="240">
        <f t="shared" si="484"/>
        <v>54.5</v>
      </c>
      <c r="R1237" s="239">
        <v>1</v>
      </c>
      <c r="S1237" s="240">
        <f t="shared" si="453"/>
        <v>55.5</v>
      </c>
      <c r="T1237" s="216" t="s">
        <v>48</v>
      </c>
      <c r="U1237" s="196" t="str">
        <f t="shared" si="450"/>
        <v>55.5 Hrs</v>
      </c>
    </row>
    <row r="1238" spans="3:21" s="185" customFormat="1" ht="20.25" customHeight="1">
      <c r="C1238" s="198">
        <f>D1238</f>
        <v>1228</v>
      </c>
      <c r="D1238" s="203">
        <f t="shared" si="477"/>
        <v>1228</v>
      </c>
      <c r="E1238" s="204" t="s">
        <v>628</v>
      </c>
      <c r="F1238" s="210">
        <f>D1234</f>
        <v>1224</v>
      </c>
      <c r="G1238" s="206"/>
      <c r="H1238" s="206"/>
      <c r="I1238" s="208"/>
      <c r="J1238" s="208"/>
      <c r="K1238" s="234"/>
      <c r="L1238" s="208"/>
      <c r="M1238" s="217"/>
      <c r="N1238" s="208"/>
      <c r="O1238" s="218"/>
      <c r="P1238" s="208"/>
      <c r="Q1238" s="240"/>
      <c r="R1238" s="239"/>
      <c r="S1238" s="240"/>
      <c r="T1238" s="216"/>
      <c r="U1238" s="196"/>
    </row>
    <row r="1239" spans="3:21" s="185" customFormat="1" ht="20.25" customHeight="1">
      <c r="C1239" s="198"/>
      <c r="D1239" s="203">
        <f t="shared" si="477"/>
        <v>1229</v>
      </c>
      <c r="E1239" s="207" t="s">
        <v>629</v>
      </c>
      <c r="F1239" s="211"/>
      <c r="G1239" s="206" t="s">
        <v>44</v>
      </c>
      <c r="H1239" s="206"/>
      <c r="I1239" s="224">
        <v>8</v>
      </c>
      <c r="J1239" s="234" t="s">
        <v>630</v>
      </c>
      <c r="K1239" s="234">
        <v>2</v>
      </c>
      <c r="L1239" s="208" t="s">
        <v>81</v>
      </c>
      <c r="M1239" s="217">
        <v>2</v>
      </c>
      <c r="N1239" s="208" t="s">
        <v>81</v>
      </c>
      <c r="O1239" s="246">
        <v>3</v>
      </c>
      <c r="P1239" s="208" t="s">
        <v>87</v>
      </c>
      <c r="Q1239" s="240">
        <f t="shared" ref="Q1239:Q1241" si="486">M1239*O1239</f>
        <v>6</v>
      </c>
      <c r="R1239" s="239">
        <v>1</v>
      </c>
      <c r="S1239" s="240">
        <f t="shared" si="453"/>
        <v>7</v>
      </c>
      <c r="T1239" s="216" t="s">
        <v>48</v>
      </c>
      <c r="U1239" s="196" t="str">
        <f t="shared" si="450"/>
        <v>7 Hrs</v>
      </c>
    </row>
    <row r="1240" spans="3:21" s="185" customFormat="1" ht="20.25" customHeight="1">
      <c r="C1240" s="198"/>
      <c r="D1240" s="203">
        <f t="shared" si="477"/>
        <v>1230</v>
      </c>
      <c r="E1240" s="207" t="s">
        <v>631</v>
      </c>
      <c r="F1240" s="211">
        <f t="shared" ref="F1240:F1241" si="487">D1239</f>
        <v>1229</v>
      </c>
      <c r="G1240" s="206" t="s">
        <v>115</v>
      </c>
      <c r="H1240" s="206"/>
      <c r="I1240" s="224">
        <v>8</v>
      </c>
      <c r="J1240" s="234" t="s">
        <v>632</v>
      </c>
      <c r="K1240" s="234">
        <v>1</v>
      </c>
      <c r="L1240" s="208" t="s">
        <v>84</v>
      </c>
      <c r="M1240" s="227" t="str">
        <f>LEFT(J1240,SEARCH(" ",J1240,1)-1)</f>
        <v>60</v>
      </c>
      <c r="N1240" s="208" t="s">
        <v>633</v>
      </c>
      <c r="O1240" s="246">
        <v>0.25</v>
      </c>
      <c r="P1240" s="208" t="s">
        <v>87</v>
      </c>
      <c r="Q1240" s="240">
        <f t="shared" si="486"/>
        <v>15</v>
      </c>
      <c r="R1240" s="239">
        <v>1</v>
      </c>
      <c r="S1240" s="240">
        <f t="shared" si="453"/>
        <v>16</v>
      </c>
      <c r="T1240" s="216" t="s">
        <v>48</v>
      </c>
      <c r="U1240" s="196" t="str">
        <f t="shared" si="450"/>
        <v>16 Hrs</v>
      </c>
    </row>
    <row r="1241" spans="3:21" s="185" customFormat="1" ht="20.25" customHeight="1">
      <c r="C1241" s="198"/>
      <c r="D1241" s="203">
        <f t="shared" si="477"/>
        <v>1231</v>
      </c>
      <c r="E1241" s="207" t="s">
        <v>634</v>
      </c>
      <c r="F1241" s="211">
        <f t="shared" si="487"/>
        <v>1230</v>
      </c>
      <c r="G1241" s="206" t="s">
        <v>61</v>
      </c>
      <c r="H1241" s="206"/>
      <c r="I1241" s="224">
        <v>1500</v>
      </c>
      <c r="J1241" s="208" t="str">
        <f>J1240</f>
        <v>60 joints</v>
      </c>
      <c r="K1241" s="234">
        <v>1</v>
      </c>
      <c r="L1241" s="208" t="s">
        <v>84</v>
      </c>
      <c r="M1241" s="227" t="str">
        <f>LEFT(J1241,SEARCH(" ",J1241,1)-1)</f>
        <v>60</v>
      </c>
      <c r="N1241" s="208" t="s">
        <v>633</v>
      </c>
      <c r="O1241" s="246">
        <f>VLOOKUP(I1241,BM!$A$2:$X$104,9,FALSE)</f>
        <v>0.25</v>
      </c>
      <c r="P1241" s="208" t="s">
        <v>87</v>
      </c>
      <c r="Q1241" s="240">
        <f t="shared" si="486"/>
        <v>15</v>
      </c>
      <c r="R1241" s="239">
        <v>1</v>
      </c>
      <c r="S1241" s="240">
        <f t="shared" si="453"/>
        <v>16</v>
      </c>
      <c r="T1241" s="216" t="s">
        <v>48</v>
      </c>
      <c r="U1241" s="196" t="str">
        <f t="shared" si="450"/>
        <v>16 Hrs</v>
      </c>
    </row>
    <row r="1242" spans="3:21" s="185" customFormat="1" ht="20.25" customHeight="1">
      <c r="C1242" s="198">
        <f>D1242</f>
        <v>1232</v>
      </c>
      <c r="D1242" s="203">
        <f t="shared" si="477"/>
        <v>1232</v>
      </c>
      <c r="E1242" s="204" t="s">
        <v>635</v>
      </c>
      <c r="F1242" s="210">
        <f>D1238</f>
        <v>1228</v>
      </c>
      <c r="G1242" s="206"/>
      <c r="H1242" s="206"/>
      <c r="I1242" s="208"/>
      <c r="J1242" s="208"/>
      <c r="K1242" s="234"/>
      <c r="L1242" s="208"/>
      <c r="M1242" s="217"/>
      <c r="N1242" s="208"/>
      <c r="O1242" s="218"/>
      <c r="P1242" s="208"/>
      <c r="Q1242" s="240"/>
      <c r="R1242" s="239"/>
      <c r="S1242" s="240"/>
      <c r="T1242" s="216"/>
      <c r="U1242" s="196"/>
    </row>
    <row r="1243" spans="3:21" s="185" customFormat="1" ht="20.25" customHeight="1">
      <c r="C1243" s="198"/>
      <c r="D1243" s="203">
        <f t="shared" si="477"/>
        <v>1233</v>
      </c>
      <c r="E1243" s="207" t="s">
        <v>636</v>
      </c>
      <c r="F1243" s="211"/>
      <c r="G1243" s="206" t="s">
        <v>637</v>
      </c>
      <c r="H1243" s="206"/>
      <c r="I1243" s="208"/>
      <c r="J1243" s="234" t="s">
        <v>638</v>
      </c>
      <c r="K1243" s="234">
        <v>1</v>
      </c>
      <c r="L1243" s="208" t="s">
        <v>81</v>
      </c>
      <c r="M1243" s="217">
        <v>1</v>
      </c>
      <c r="N1243" s="208" t="s">
        <v>81</v>
      </c>
      <c r="O1243" s="218">
        <v>16</v>
      </c>
      <c r="P1243" s="208" t="s">
        <v>87</v>
      </c>
      <c r="Q1243" s="240">
        <f t="shared" ref="Q1243:Q1245" si="488">M1243*O1243</f>
        <v>16</v>
      </c>
      <c r="R1243" s="239">
        <v>1</v>
      </c>
      <c r="S1243" s="240">
        <f t="shared" si="453"/>
        <v>17</v>
      </c>
      <c r="T1243" s="216" t="s">
        <v>48</v>
      </c>
      <c r="U1243" s="196" t="str">
        <f t="shared" si="450"/>
        <v>17 Hrs</v>
      </c>
    </row>
    <row r="1244" spans="3:21" s="185" customFormat="1" ht="20.25" customHeight="1">
      <c r="C1244" s="198"/>
      <c r="D1244" s="203">
        <f t="shared" si="477"/>
        <v>1234</v>
      </c>
      <c r="E1244" s="207" t="s">
        <v>639</v>
      </c>
      <c r="F1244" s="211">
        <f t="shared" ref="F1244:F1245" si="489">D1243</f>
        <v>1233</v>
      </c>
      <c r="G1244" s="206" t="s">
        <v>640</v>
      </c>
      <c r="H1244" s="206"/>
      <c r="I1244" s="224" t="s">
        <v>641</v>
      </c>
      <c r="J1244" s="208"/>
      <c r="K1244" s="234">
        <v>1</v>
      </c>
      <c r="L1244" s="208" t="s">
        <v>81</v>
      </c>
      <c r="M1244" s="217">
        <v>1</v>
      </c>
      <c r="N1244" s="208" t="s">
        <v>81</v>
      </c>
      <c r="O1244" s="218">
        <v>4</v>
      </c>
      <c r="P1244" s="208" t="s">
        <v>87</v>
      </c>
      <c r="Q1244" s="240">
        <f t="shared" si="488"/>
        <v>4</v>
      </c>
      <c r="R1244" s="239">
        <v>1</v>
      </c>
      <c r="S1244" s="240">
        <f t="shared" si="453"/>
        <v>5</v>
      </c>
      <c r="T1244" s="216" t="s">
        <v>48</v>
      </c>
      <c r="U1244" s="196" t="str">
        <f t="shared" ref="U1244:U1288" si="490">CONCATENATE(S1244," ",T1244)</f>
        <v>5 Hrs</v>
      </c>
    </row>
    <row r="1245" spans="3:21" s="185" customFormat="1" ht="20.25" customHeight="1">
      <c r="C1245" s="198"/>
      <c r="D1245" s="203">
        <f t="shared" si="477"/>
        <v>1235</v>
      </c>
      <c r="E1245" s="207" t="s">
        <v>642</v>
      </c>
      <c r="F1245" s="211">
        <f t="shared" si="489"/>
        <v>1234</v>
      </c>
      <c r="G1245" s="206" t="s">
        <v>643</v>
      </c>
      <c r="H1245" s="206"/>
      <c r="I1245" s="224" t="s">
        <v>644</v>
      </c>
      <c r="J1245" s="234">
        <v>1490</v>
      </c>
      <c r="K1245" s="234">
        <v>1</v>
      </c>
      <c r="L1245" s="208" t="s">
        <v>81</v>
      </c>
      <c r="M1245" s="217">
        <v>56</v>
      </c>
      <c r="N1245" s="208" t="s">
        <v>645</v>
      </c>
      <c r="O1245" s="246">
        <f>1/60*10</f>
        <v>0.16666666666666666</v>
      </c>
      <c r="P1245" s="208" t="s">
        <v>112</v>
      </c>
      <c r="Q1245" s="240">
        <f t="shared" si="488"/>
        <v>9.3333333333333321</v>
      </c>
      <c r="R1245" s="239">
        <v>1</v>
      </c>
      <c r="S1245" s="240">
        <f t="shared" si="453"/>
        <v>10.33</v>
      </c>
      <c r="T1245" s="216" t="s">
        <v>48</v>
      </c>
      <c r="U1245" s="196" t="str">
        <f t="shared" si="490"/>
        <v>10.33 Hrs</v>
      </c>
    </row>
    <row r="1246" spans="3:21" s="185" customFormat="1" ht="20.25" customHeight="1">
      <c r="C1246" s="198">
        <f>D1246</f>
        <v>1236</v>
      </c>
      <c r="D1246" s="203">
        <f t="shared" si="477"/>
        <v>1236</v>
      </c>
      <c r="E1246" s="204" t="s">
        <v>646</v>
      </c>
      <c r="F1246" s="210">
        <f>D1242</f>
        <v>1232</v>
      </c>
      <c r="G1246" s="206"/>
      <c r="H1246" s="206"/>
      <c r="I1246" s="208"/>
      <c r="J1246" s="208"/>
      <c r="K1246" s="234"/>
      <c r="L1246" s="208"/>
      <c r="M1246" s="217"/>
      <c r="N1246" s="208"/>
      <c r="O1246" s="218"/>
      <c r="P1246" s="208"/>
      <c r="Q1246" s="240"/>
      <c r="R1246" s="239"/>
      <c r="S1246" s="240"/>
      <c r="T1246" s="216"/>
      <c r="U1246" s="196"/>
    </row>
    <row r="1247" spans="3:21" s="185" customFormat="1" ht="20.25" customHeight="1">
      <c r="C1247" s="198"/>
      <c r="D1247" s="203">
        <f t="shared" si="477"/>
        <v>1237</v>
      </c>
      <c r="E1247" s="207" t="s">
        <v>647</v>
      </c>
      <c r="F1247" s="211"/>
      <c r="G1247" s="206" t="s">
        <v>201</v>
      </c>
      <c r="H1247" s="206"/>
      <c r="I1247" s="224" t="s">
        <v>648</v>
      </c>
      <c r="J1247" s="234" t="s">
        <v>649</v>
      </c>
      <c r="K1247" s="234">
        <v>1308</v>
      </c>
      <c r="L1247" s="208" t="s">
        <v>81</v>
      </c>
      <c r="M1247" s="227" t="str">
        <f>LEFT(J1247,SEARCH(" ",J1247,1)-1)</f>
        <v>1308</v>
      </c>
      <c r="N1247" s="208" t="s">
        <v>650</v>
      </c>
      <c r="O1247" s="246">
        <f>1/60*1</f>
        <v>1.6666666666666666E-2</v>
      </c>
      <c r="P1247" s="208" t="s">
        <v>112</v>
      </c>
      <c r="Q1247" s="240">
        <f t="shared" ref="Q1247:Q1250" si="491">M1247*O1247</f>
        <v>21.8</v>
      </c>
      <c r="R1247" s="239">
        <v>1</v>
      </c>
      <c r="S1247" s="240">
        <f t="shared" ref="S1247:S1288" si="492">ROUND(Q1247+R1247,2)</f>
        <v>22.8</v>
      </c>
      <c r="T1247" s="216" t="s">
        <v>48</v>
      </c>
      <c r="U1247" s="196" t="str">
        <f t="shared" si="490"/>
        <v>22.8 Hrs</v>
      </c>
    </row>
    <row r="1248" spans="3:21" s="185" customFormat="1" ht="20.25" customHeight="1">
      <c r="C1248" s="198"/>
      <c r="D1248" s="203">
        <f t="shared" si="477"/>
        <v>1238</v>
      </c>
      <c r="E1248" s="207" t="s">
        <v>651</v>
      </c>
      <c r="F1248" s="211">
        <f t="shared" ref="F1248:F1250" si="493">D1247</f>
        <v>1237</v>
      </c>
      <c r="G1248" s="206" t="s">
        <v>201</v>
      </c>
      <c r="H1248" s="206"/>
      <c r="I1248" s="224" t="s">
        <v>652</v>
      </c>
      <c r="J1248" s="234" t="s">
        <v>649</v>
      </c>
      <c r="K1248" s="234">
        <v>1308</v>
      </c>
      <c r="L1248" s="208" t="s">
        <v>81</v>
      </c>
      <c r="M1248" s="227" t="str">
        <f>LEFT(J1248,SEARCH(" ",J1248,1)-1)</f>
        <v>1308</v>
      </c>
      <c r="N1248" s="208" t="s">
        <v>650</v>
      </c>
      <c r="O1248" s="246">
        <f>1/60*0.5</f>
        <v>8.3333333333333332E-3</v>
      </c>
      <c r="P1248" s="208" t="s">
        <v>112</v>
      </c>
      <c r="Q1248" s="240">
        <f t="shared" si="491"/>
        <v>10.9</v>
      </c>
      <c r="R1248" s="239">
        <v>1</v>
      </c>
      <c r="S1248" s="240">
        <f t="shared" si="492"/>
        <v>11.9</v>
      </c>
      <c r="T1248" s="216" t="s">
        <v>48</v>
      </c>
      <c r="U1248" s="196" t="str">
        <f t="shared" si="490"/>
        <v>11.9 Hrs</v>
      </c>
    </row>
    <row r="1249" spans="3:21" s="185" customFormat="1" ht="20.25" customHeight="1">
      <c r="C1249" s="198"/>
      <c r="D1249" s="203">
        <f t="shared" si="477"/>
        <v>1239</v>
      </c>
      <c r="E1249" s="207" t="s">
        <v>653</v>
      </c>
      <c r="F1249" s="211">
        <f t="shared" si="493"/>
        <v>1238</v>
      </c>
      <c r="G1249" s="206" t="s">
        <v>44</v>
      </c>
      <c r="H1249" s="206"/>
      <c r="I1249" s="224" t="s">
        <v>652</v>
      </c>
      <c r="J1249" s="234" t="s">
        <v>649</v>
      </c>
      <c r="K1249" s="234">
        <v>1308</v>
      </c>
      <c r="L1249" s="208" t="s">
        <v>81</v>
      </c>
      <c r="M1249" s="227" t="str">
        <f>LEFT(J1249,SEARCH(" ",J1249,1)-1)</f>
        <v>1308</v>
      </c>
      <c r="N1249" s="208" t="s">
        <v>654</v>
      </c>
      <c r="O1249" s="246">
        <f>1/60*2</f>
        <v>3.3333333333333333E-2</v>
      </c>
      <c r="P1249" s="208" t="s">
        <v>112</v>
      </c>
      <c r="Q1249" s="240">
        <f t="shared" si="491"/>
        <v>43.6</v>
      </c>
      <c r="R1249" s="239">
        <v>1</v>
      </c>
      <c r="S1249" s="240">
        <f t="shared" si="492"/>
        <v>44.6</v>
      </c>
      <c r="T1249" s="216" t="s">
        <v>48</v>
      </c>
      <c r="U1249" s="196" t="str">
        <f t="shared" si="490"/>
        <v>44.6 Hrs</v>
      </c>
    </row>
    <row r="1250" spans="3:21" s="185" customFormat="1" ht="20.25" customHeight="1">
      <c r="C1250" s="198"/>
      <c r="D1250" s="203">
        <f t="shared" si="477"/>
        <v>1240</v>
      </c>
      <c r="E1250" s="207" t="s">
        <v>655</v>
      </c>
      <c r="F1250" s="211">
        <f t="shared" si="493"/>
        <v>1239</v>
      </c>
      <c r="G1250" s="206" t="s">
        <v>656</v>
      </c>
      <c r="H1250" s="206"/>
      <c r="I1250" s="224" t="s">
        <v>657</v>
      </c>
      <c r="J1250" s="234" t="s">
        <v>658</v>
      </c>
      <c r="K1250" s="225">
        <v>2616</v>
      </c>
      <c r="L1250" s="208" t="s">
        <v>81</v>
      </c>
      <c r="M1250" s="227" t="str">
        <f>LEFT(J1250,SEARCH(" ",J1250,1)-1)</f>
        <v>2616</v>
      </c>
      <c r="N1250" s="208" t="s">
        <v>650</v>
      </c>
      <c r="O1250" s="246">
        <f>1/60*0.5</f>
        <v>8.3333333333333332E-3</v>
      </c>
      <c r="P1250" s="208" t="s">
        <v>112</v>
      </c>
      <c r="Q1250" s="240">
        <f t="shared" si="491"/>
        <v>21.8</v>
      </c>
      <c r="R1250" s="239">
        <v>1</v>
      </c>
      <c r="S1250" s="240">
        <f t="shared" si="492"/>
        <v>22.8</v>
      </c>
      <c r="T1250" s="216" t="s">
        <v>48</v>
      </c>
      <c r="U1250" s="196" t="str">
        <f t="shared" si="490"/>
        <v>22.8 Hrs</v>
      </c>
    </row>
    <row r="1251" spans="3:21" s="185" customFormat="1" ht="20.25" customHeight="1">
      <c r="C1251" s="198">
        <f>D1251</f>
        <v>1241</v>
      </c>
      <c r="D1251" s="203">
        <f t="shared" si="477"/>
        <v>1241</v>
      </c>
      <c r="E1251" s="204" t="s">
        <v>659</v>
      </c>
      <c r="F1251" s="210">
        <f>D1246</f>
        <v>1236</v>
      </c>
      <c r="G1251" s="206"/>
      <c r="H1251" s="206"/>
      <c r="I1251" s="208"/>
      <c r="J1251" s="208"/>
      <c r="K1251" s="234"/>
      <c r="L1251" s="208"/>
      <c r="M1251" s="217"/>
      <c r="N1251" s="208"/>
      <c r="O1251" s="218"/>
      <c r="P1251" s="208"/>
      <c r="Q1251" s="240"/>
      <c r="R1251" s="239"/>
      <c r="S1251" s="240"/>
      <c r="T1251" s="216"/>
      <c r="U1251" s="196"/>
    </row>
    <row r="1252" spans="3:21" s="185" customFormat="1" ht="20.25" customHeight="1">
      <c r="C1252" s="198"/>
      <c r="D1252" s="203">
        <f t="shared" si="477"/>
        <v>1242</v>
      </c>
      <c r="E1252" s="207" t="s">
        <v>660</v>
      </c>
      <c r="F1252" s="211"/>
      <c r="G1252" s="206" t="s">
        <v>656</v>
      </c>
      <c r="H1252" s="206"/>
      <c r="I1252" s="208"/>
      <c r="J1252" s="208"/>
      <c r="K1252" s="234">
        <v>1</v>
      </c>
      <c r="L1252" s="208" t="s">
        <v>39</v>
      </c>
      <c r="M1252" s="217">
        <v>1</v>
      </c>
      <c r="N1252" s="208" t="s">
        <v>661</v>
      </c>
      <c r="O1252" s="218">
        <v>4</v>
      </c>
      <c r="P1252" s="208" t="s">
        <v>112</v>
      </c>
      <c r="Q1252" s="240">
        <f t="shared" ref="Q1252:Q1254" si="494">M1252*O1252</f>
        <v>4</v>
      </c>
      <c r="R1252" s="239">
        <v>1</v>
      </c>
      <c r="S1252" s="240">
        <f t="shared" si="492"/>
        <v>5</v>
      </c>
      <c r="T1252" s="216" t="s">
        <v>48</v>
      </c>
      <c r="U1252" s="196" t="str">
        <f t="shared" si="490"/>
        <v>5 Hrs</v>
      </c>
    </row>
    <row r="1253" spans="3:21" s="185" customFormat="1" ht="20.25" customHeight="1">
      <c r="C1253" s="198"/>
      <c r="D1253" s="203">
        <f t="shared" si="477"/>
        <v>1243</v>
      </c>
      <c r="E1253" s="207" t="s">
        <v>662</v>
      </c>
      <c r="F1253" s="211">
        <f t="shared" ref="F1253:F1254" si="495">D1252</f>
        <v>1242</v>
      </c>
      <c r="G1253" s="206" t="s">
        <v>44</v>
      </c>
      <c r="H1253" s="206"/>
      <c r="I1253" s="208"/>
      <c r="J1253" s="208"/>
      <c r="K1253" s="234">
        <v>1</v>
      </c>
      <c r="L1253" s="208" t="s">
        <v>39</v>
      </c>
      <c r="M1253" s="217">
        <v>1</v>
      </c>
      <c r="N1253" s="208" t="s">
        <v>661</v>
      </c>
      <c r="O1253" s="218">
        <v>1</v>
      </c>
      <c r="P1253" s="208" t="s">
        <v>41</v>
      </c>
      <c r="Q1253" s="240">
        <f t="shared" si="494"/>
        <v>1</v>
      </c>
      <c r="R1253" s="239"/>
      <c r="S1253" s="240">
        <f t="shared" si="492"/>
        <v>1</v>
      </c>
      <c r="T1253" s="216" t="s">
        <v>48</v>
      </c>
      <c r="U1253" s="196" t="str">
        <f t="shared" si="490"/>
        <v>1 Hrs</v>
      </c>
    </row>
    <row r="1254" spans="3:21" s="185" customFormat="1" ht="20.25" customHeight="1">
      <c r="C1254" s="198"/>
      <c r="D1254" s="203">
        <f t="shared" si="477"/>
        <v>1244</v>
      </c>
      <c r="E1254" s="207" t="s">
        <v>663</v>
      </c>
      <c r="F1254" s="211">
        <f t="shared" si="495"/>
        <v>1243</v>
      </c>
      <c r="G1254" s="206" t="s">
        <v>224</v>
      </c>
      <c r="H1254" s="206"/>
      <c r="I1254" s="208"/>
      <c r="J1254" s="208"/>
      <c r="K1254" s="234">
        <v>1</v>
      </c>
      <c r="L1254" s="208" t="s">
        <v>39</v>
      </c>
      <c r="M1254" s="217">
        <v>1</v>
      </c>
      <c r="N1254" s="208" t="s">
        <v>39</v>
      </c>
      <c r="O1254" s="218">
        <v>1</v>
      </c>
      <c r="P1254" s="208" t="s">
        <v>162</v>
      </c>
      <c r="Q1254" s="240">
        <f t="shared" si="494"/>
        <v>1</v>
      </c>
      <c r="R1254" s="239"/>
      <c r="S1254" s="240">
        <f t="shared" si="492"/>
        <v>1</v>
      </c>
      <c r="T1254" s="216" t="s">
        <v>48</v>
      </c>
      <c r="U1254" s="196" t="str">
        <f t="shared" si="490"/>
        <v>1 Hrs</v>
      </c>
    </row>
    <row r="1255" spans="3:21" s="185" customFormat="1" ht="20.25" customHeight="1">
      <c r="C1255" s="198">
        <f>D1255</f>
        <v>1245</v>
      </c>
      <c r="D1255" s="203">
        <f t="shared" si="477"/>
        <v>1245</v>
      </c>
      <c r="E1255" s="204" t="s">
        <v>704</v>
      </c>
      <c r="F1255" s="210">
        <f>D1251</f>
        <v>1241</v>
      </c>
      <c r="G1255" s="206"/>
      <c r="H1255" s="206"/>
      <c r="I1255" s="208"/>
      <c r="J1255" s="208"/>
      <c r="K1255" s="234"/>
      <c r="L1255" s="208"/>
      <c r="M1255" s="217"/>
      <c r="N1255" s="208"/>
      <c r="O1255" s="218"/>
      <c r="P1255" s="208"/>
      <c r="Q1255" s="240"/>
      <c r="R1255" s="239"/>
      <c r="S1255" s="240"/>
      <c r="T1255" s="216"/>
      <c r="U1255" s="196"/>
    </row>
    <row r="1256" spans="3:21" s="185" customFormat="1" ht="20.25" customHeight="1">
      <c r="C1256" s="198"/>
      <c r="D1256" s="203">
        <f t="shared" si="477"/>
        <v>1246</v>
      </c>
      <c r="E1256" s="207" t="s">
        <v>705</v>
      </c>
      <c r="F1256" s="211"/>
      <c r="G1256" s="206" t="s">
        <v>666</v>
      </c>
      <c r="H1256" s="206"/>
      <c r="I1256" s="224">
        <v>2.77</v>
      </c>
      <c r="J1256" s="234" t="s">
        <v>667</v>
      </c>
      <c r="K1256" s="234">
        <v>1308</v>
      </c>
      <c r="L1256" s="208" t="s">
        <v>81</v>
      </c>
      <c r="M1256" s="235">
        <f>K1256</f>
        <v>1308</v>
      </c>
      <c r="N1256" s="208" t="s">
        <v>668</v>
      </c>
      <c r="O1256" s="246">
        <f>1/60*5</f>
        <v>8.3333333333333329E-2</v>
      </c>
      <c r="P1256" s="208" t="s">
        <v>112</v>
      </c>
      <c r="Q1256" s="240">
        <f t="shared" ref="Q1256:Q1259" si="496">M1256*O1256</f>
        <v>109</v>
      </c>
      <c r="R1256" s="239">
        <v>1</v>
      </c>
      <c r="S1256" s="240">
        <f t="shared" si="492"/>
        <v>110</v>
      </c>
      <c r="T1256" s="216" t="s">
        <v>48</v>
      </c>
      <c r="U1256" s="196" t="str">
        <f t="shared" si="490"/>
        <v>110 Hrs</v>
      </c>
    </row>
    <row r="1257" spans="3:21" s="185" customFormat="1" ht="20.25" customHeight="1">
      <c r="C1257" s="198"/>
      <c r="D1257" s="203">
        <f t="shared" si="477"/>
        <v>1247</v>
      </c>
      <c r="E1257" s="207" t="s">
        <v>706</v>
      </c>
      <c r="F1257" s="211">
        <f t="shared" ref="F1257:F1259" si="497">D1256</f>
        <v>1246</v>
      </c>
      <c r="G1257" s="206" t="s">
        <v>44</v>
      </c>
      <c r="H1257" s="206"/>
      <c r="I1257" s="224">
        <v>2.77</v>
      </c>
      <c r="J1257" s="208"/>
      <c r="K1257" s="234">
        <v>1308</v>
      </c>
      <c r="L1257" s="208" t="s">
        <v>81</v>
      </c>
      <c r="M1257" s="217">
        <v>1</v>
      </c>
      <c r="N1257" s="208" t="s">
        <v>39</v>
      </c>
      <c r="O1257" s="218">
        <v>8</v>
      </c>
      <c r="P1257" s="208" t="s">
        <v>112</v>
      </c>
      <c r="Q1257" s="240">
        <f t="shared" si="496"/>
        <v>8</v>
      </c>
      <c r="R1257" s="239">
        <v>1</v>
      </c>
      <c r="S1257" s="240">
        <f t="shared" si="492"/>
        <v>9</v>
      </c>
      <c r="T1257" s="216" t="s">
        <v>48</v>
      </c>
      <c r="U1257" s="196" t="str">
        <f t="shared" si="490"/>
        <v>9 Hrs</v>
      </c>
    </row>
    <row r="1258" spans="3:21" s="185" customFormat="1" ht="20.25" customHeight="1">
      <c r="C1258" s="198"/>
      <c r="D1258" s="203">
        <f t="shared" si="477"/>
        <v>1248</v>
      </c>
      <c r="E1258" s="207" t="s">
        <v>707</v>
      </c>
      <c r="F1258" s="211">
        <f t="shared" si="497"/>
        <v>1247</v>
      </c>
      <c r="G1258" s="206" t="s">
        <v>666</v>
      </c>
      <c r="H1258" s="206"/>
      <c r="I1258" s="224">
        <v>2.77</v>
      </c>
      <c r="J1258" s="208"/>
      <c r="K1258" s="234">
        <v>1308</v>
      </c>
      <c r="L1258" s="208" t="s">
        <v>81</v>
      </c>
      <c r="M1258" s="235">
        <f>K1258</f>
        <v>1308</v>
      </c>
      <c r="N1258" s="208" t="s">
        <v>668</v>
      </c>
      <c r="O1258" s="246">
        <f>1/60*5</f>
        <v>8.3333333333333329E-2</v>
      </c>
      <c r="P1258" s="208" t="s">
        <v>112</v>
      </c>
      <c r="Q1258" s="240">
        <f t="shared" si="496"/>
        <v>109</v>
      </c>
      <c r="R1258" s="239">
        <v>1</v>
      </c>
      <c r="S1258" s="240">
        <f t="shared" si="492"/>
        <v>110</v>
      </c>
      <c r="T1258" s="216" t="s">
        <v>48</v>
      </c>
      <c r="U1258" s="196" t="str">
        <f t="shared" si="490"/>
        <v>110 Hrs</v>
      </c>
    </row>
    <row r="1259" spans="3:21" s="185" customFormat="1" ht="20.25" customHeight="1">
      <c r="C1259" s="198"/>
      <c r="D1259" s="203">
        <f t="shared" si="477"/>
        <v>1249</v>
      </c>
      <c r="E1259" s="207" t="s">
        <v>708</v>
      </c>
      <c r="F1259" s="211">
        <f t="shared" si="497"/>
        <v>1248</v>
      </c>
      <c r="G1259" s="206" t="s">
        <v>44</v>
      </c>
      <c r="H1259" s="206"/>
      <c r="I1259" s="224">
        <v>2.77</v>
      </c>
      <c r="J1259" s="208"/>
      <c r="K1259" s="234">
        <v>1308</v>
      </c>
      <c r="L1259" s="208" t="s">
        <v>81</v>
      </c>
      <c r="M1259" s="217">
        <v>1</v>
      </c>
      <c r="N1259" s="208" t="s">
        <v>39</v>
      </c>
      <c r="O1259" s="218">
        <v>8</v>
      </c>
      <c r="P1259" s="208" t="s">
        <v>112</v>
      </c>
      <c r="Q1259" s="240">
        <f t="shared" si="496"/>
        <v>8</v>
      </c>
      <c r="R1259" s="239">
        <v>1</v>
      </c>
      <c r="S1259" s="240">
        <f t="shared" si="492"/>
        <v>9</v>
      </c>
      <c r="T1259" s="216" t="s">
        <v>48</v>
      </c>
      <c r="U1259" s="196" t="str">
        <f t="shared" si="490"/>
        <v>9 Hrs</v>
      </c>
    </row>
    <row r="1260" spans="3:21" s="185" customFormat="1" ht="20.25" customHeight="1">
      <c r="C1260" s="198">
        <f>D1260</f>
        <v>1250</v>
      </c>
      <c r="D1260" s="203">
        <f t="shared" si="477"/>
        <v>1250</v>
      </c>
      <c r="E1260" s="204" t="s">
        <v>672</v>
      </c>
      <c r="F1260" s="210">
        <f>D1255</f>
        <v>1245</v>
      </c>
      <c r="G1260" s="206"/>
      <c r="H1260" s="206"/>
      <c r="I1260" s="208"/>
      <c r="J1260" s="208"/>
      <c r="K1260" s="234"/>
      <c r="L1260" s="208"/>
      <c r="M1260" s="217"/>
      <c r="N1260" s="208"/>
      <c r="O1260" s="218"/>
      <c r="P1260" s="208"/>
      <c r="Q1260" s="240"/>
      <c r="R1260" s="239"/>
      <c r="S1260" s="240"/>
      <c r="T1260" s="216"/>
      <c r="U1260" s="196"/>
    </row>
    <row r="1261" spans="3:21" s="185" customFormat="1" ht="20.25" customHeight="1">
      <c r="C1261" s="198"/>
      <c r="D1261" s="203">
        <f t="shared" si="477"/>
        <v>1251</v>
      </c>
      <c r="E1261" s="207" t="s">
        <v>709</v>
      </c>
      <c r="F1261" s="211"/>
      <c r="G1261" s="206" t="s">
        <v>666</v>
      </c>
      <c r="H1261" s="206"/>
      <c r="I1261" s="224">
        <v>2.77</v>
      </c>
      <c r="J1261" s="208"/>
      <c r="K1261" s="234">
        <v>1308</v>
      </c>
      <c r="L1261" s="208" t="s">
        <v>81</v>
      </c>
      <c r="M1261" s="235">
        <f>K1261</f>
        <v>1308</v>
      </c>
      <c r="N1261" s="208" t="s">
        <v>668</v>
      </c>
      <c r="O1261" s="246">
        <f>1/60*5</f>
        <v>8.3333333333333329E-2</v>
      </c>
      <c r="P1261" s="208" t="s">
        <v>112</v>
      </c>
      <c r="Q1261" s="240">
        <f t="shared" ref="Q1261:Q1264" si="498">M1261*O1261</f>
        <v>109</v>
      </c>
      <c r="R1261" s="239">
        <v>1</v>
      </c>
      <c r="S1261" s="240">
        <f t="shared" si="492"/>
        <v>110</v>
      </c>
      <c r="T1261" s="216" t="s">
        <v>48</v>
      </c>
      <c r="U1261" s="196" t="str">
        <f t="shared" si="490"/>
        <v>110 Hrs</v>
      </c>
    </row>
    <row r="1262" spans="3:21" s="185" customFormat="1" ht="20.25" customHeight="1">
      <c r="C1262" s="198"/>
      <c r="D1262" s="203">
        <f t="shared" si="477"/>
        <v>1252</v>
      </c>
      <c r="E1262" s="207" t="s">
        <v>710</v>
      </c>
      <c r="F1262" s="211">
        <f t="shared" ref="F1262:F1264" si="499">D1261</f>
        <v>1251</v>
      </c>
      <c r="G1262" s="206" t="s">
        <v>44</v>
      </c>
      <c r="H1262" s="206"/>
      <c r="I1262" s="224">
        <v>2.77</v>
      </c>
      <c r="J1262" s="208"/>
      <c r="K1262" s="234">
        <v>1308</v>
      </c>
      <c r="L1262" s="208" t="s">
        <v>81</v>
      </c>
      <c r="M1262" s="217">
        <v>1</v>
      </c>
      <c r="N1262" s="208" t="s">
        <v>39</v>
      </c>
      <c r="O1262" s="218">
        <v>8</v>
      </c>
      <c r="P1262" s="208" t="s">
        <v>112</v>
      </c>
      <c r="Q1262" s="240">
        <f t="shared" si="498"/>
        <v>8</v>
      </c>
      <c r="R1262" s="239">
        <v>1</v>
      </c>
      <c r="S1262" s="240">
        <f t="shared" si="492"/>
        <v>9</v>
      </c>
      <c r="T1262" s="216" t="s">
        <v>48</v>
      </c>
      <c r="U1262" s="196" t="str">
        <f t="shared" si="490"/>
        <v>9 Hrs</v>
      </c>
    </row>
    <row r="1263" spans="3:21" s="185" customFormat="1" ht="20.25" customHeight="1">
      <c r="C1263" s="198"/>
      <c r="D1263" s="203">
        <f t="shared" si="477"/>
        <v>1253</v>
      </c>
      <c r="E1263" s="207" t="s">
        <v>711</v>
      </c>
      <c r="F1263" s="211">
        <f t="shared" si="499"/>
        <v>1252</v>
      </c>
      <c r="G1263" s="206" t="s">
        <v>666</v>
      </c>
      <c r="H1263" s="206"/>
      <c r="I1263" s="224">
        <v>2.77</v>
      </c>
      <c r="J1263" s="208"/>
      <c r="K1263" s="234">
        <v>1308</v>
      </c>
      <c r="L1263" s="208" t="s">
        <v>81</v>
      </c>
      <c r="M1263" s="235">
        <f>K1263</f>
        <v>1308</v>
      </c>
      <c r="N1263" s="208" t="s">
        <v>668</v>
      </c>
      <c r="O1263" s="246">
        <f>1/60*5</f>
        <v>8.3333333333333329E-2</v>
      </c>
      <c r="P1263" s="208" t="s">
        <v>112</v>
      </c>
      <c r="Q1263" s="240">
        <f t="shared" si="498"/>
        <v>109</v>
      </c>
      <c r="R1263" s="239">
        <v>1</v>
      </c>
      <c r="S1263" s="240">
        <f t="shared" si="492"/>
        <v>110</v>
      </c>
      <c r="T1263" s="216" t="s">
        <v>48</v>
      </c>
      <c r="U1263" s="196" t="str">
        <f t="shared" si="490"/>
        <v>110 Hrs</v>
      </c>
    </row>
    <row r="1264" spans="3:21" s="185" customFormat="1" ht="20.25" customHeight="1">
      <c r="C1264" s="198"/>
      <c r="D1264" s="203">
        <f t="shared" si="477"/>
        <v>1254</v>
      </c>
      <c r="E1264" s="207" t="s">
        <v>712</v>
      </c>
      <c r="F1264" s="211">
        <f t="shared" si="499"/>
        <v>1253</v>
      </c>
      <c r="G1264" s="206" t="s">
        <v>44</v>
      </c>
      <c r="H1264" s="206"/>
      <c r="I1264" s="224">
        <v>2.77</v>
      </c>
      <c r="J1264" s="208"/>
      <c r="K1264" s="234">
        <v>1308</v>
      </c>
      <c r="L1264" s="208" t="s">
        <v>81</v>
      </c>
      <c r="M1264" s="217">
        <v>1</v>
      </c>
      <c r="N1264" s="208" t="s">
        <v>39</v>
      </c>
      <c r="O1264" s="218">
        <v>8</v>
      </c>
      <c r="P1264" s="208" t="s">
        <v>112</v>
      </c>
      <c r="Q1264" s="240">
        <f t="shared" si="498"/>
        <v>8</v>
      </c>
      <c r="R1264" s="239">
        <v>1</v>
      </c>
      <c r="S1264" s="240">
        <f t="shared" si="492"/>
        <v>9</v>
      </c>
      <c r="T1264" s="216" t="s">
        <v>48</v>
      </c>
      <c r="U1264" s="196" t="str">
        <f t="shared" si="490"/>
        <v>9 Hrs</v>
      </c>
    </row>
    <row r="1265" spans="3:21" s="185" customFormat="1" ht="20.25" customHeight="1">
      <c r="C1265" s="198">
        <f t="shared" ref="C1265:C1266" si="500">D1265</f>
        <v>1255</v>
      </c>
      <c r="D1265" s="203">
        <f t="shared" si="477"/>
        <v>1255</v>
      </c>
      <c r="E1265" s="209" t="s">
        <v>713</v>
      </c>
      <c r="F1265" s="210">
        <f>D1260</f>
        <v>1250</v>
      </c>
      <c r="G1265" s="206"/>
      <c r="H1265" s="206"/>
      <c r="I1265" s="208"/>
      <c r="J1265" s="208"/>
      <c r="K1265" s="234"/>
      <c r="L1265" s="208"/>
      <c r="M1265" s="217"/>
      <c r="N1265" s="208"/>
      <c r="O1265" s="218"/>
      <c r="P1265" s="208"/>
      <c r="Q1265" s="240"/>
      <c r="R1265" s="239"/>
      <c r="S1265" s="240"/>
      <c r="T1265" s="216"/>
      <c r="U1265" s="196"/>
    </row>
    <row r="1266" spans="3:21" s="185" customFormat="1" ht="20.25" customHeight="1">
      <c r="C1266" s="198">
        <f t="shared" si="500"/>
        <v>1256</v>
      </c>
      <c r="D1266" s="203">
        <f t="shared" si="477"/>
        <v>1256</v>
      </c>
      <c r="E1266" s="207" t="s">
        <v>678</v>
      </c>
      <c r="F1266" s="211"/>
      <c r="G1266" s="206"/>
      <c r="H1266" s="206"/>
      <c r="I1266" s="208"/>
      <c r="J1266" s="208"/>
      <c r="K1266" s="234"/>
      <c r="L1266" s="208"/>
      <c r="M1266" s="217"/>
      <c r="N1266" s="208"/>
      <c r="O1266" s="218"/>
      <c r="P1266" s="208"/>
      <c r="Q1266" s="240"/>
      <c r="R1266" s="239"/>
      <c r="S1266" s="240"/>
      <c r="T1266" s="216"/>
      <c r="U1266" s="196"/>
    </row>
    <row r="1267" spans="3:21" s="185" customFormat="1" ht="20.25" customHeight="1">
      <c r="C1267" s="198"/>
      <c r="D1267" s="203">
        <f t="shared" si="477"/>
        <v>1257</v>
      </c>
      <c r="E1267" s="207" t="s">
        <v>713</v>
      </c>
      <c r="F1267" s="211">
        <f>D1266</f>
        <v>1256</v>
      </c>
      <c r="G1267" s="206" t="s">
        <v>656</v>
      </c>
      <c r="H1267" s="206"/>
      <c r="I1267" s="208"/>
      <c r="J1267" s="234" t="s">
        <v>407</v>
      </c>
      <c r="K1267" s="234">
        <v>1</v>
      </c>
      <c r="L1267" s="208" t="s">
        <v>39</v>
      </c>
      <c r="M1267" s="217">
        <v>1</v>
      </c>
      <c r="N1267" s="208" t="s">
        <v>661</v>
      </c>
      <c r="O1267" s="218">
        <v>12</v>
      </c>
      <c r="P1267" s="208" t="s">
        <v>112</v>
      </c>
      <c r="Q1267" s="240">
        <f t="shared" ref="Q1267:Q1269" si="501">M1267*O1267</f>
        <v>12</v>
      </c>
      <c r="R1267" s="239">
        <v>1</v>
      </c>
      <c r="S1267" s="240">
        <f t="shared" si="492"/>
        <v>13</v>
      </c>
      <c r="T1267" s="216" t="s">
        <v>48</v>
      </c>
      <c r="U1267" s="196" t="str">
        <f t="shared" si="490"/>
        <v>13 Hrs</v>
      </c>
    </row>
    <row r="1268" spans="3:21" s="185" customFormat="1" ht="20.25" customHeight="1">
      <c r="C1268" s="198"/>
      <c r="D1268" s="203">
        <f t="shared" si="477"/>
        <v>1258</v>
      </c>
      <c r="E1268" s="207" t="s">
        <v>679</v>
      </c>
      <c r="F1268" s="211">
        <f t="shared" ref="F1268:F1269" si="502">D1267</f>
        <v>1257</v>
      </c>
      <c r="G1268" s="206" t="s">
        <v>348</v>
      </c>
      <c r="H1268" s="206"/>
      <c r="I1268" s="208"/>
      <c r="J1268" s="234" t="str">
        <f>J1267</f>
        <v>6130 lg</v>
      </c>
      <c r="K1268" s="234">
        <v>1</v>
      </c>
      <c r="L1268" s="208" t="s">
        <v>39</v>
      </c>
      <c r="M1268" s="217">
        <v>1</v>
      </c>
      <c r="N1268" s="208" t="s">
        <v>661</v>
      </c>
      <c r="O1268" s="218">
        <v>1</v>
      </c>
      <c r="P1268" s="208" t="s">
        <v>41</v>
      </c>
      <c r="Q1268" s="240">
        <f t="shared" si="501"/>
        <v>1</v>
      </c>
      <c r="R1268" s="239">
        <v>0</v>
      </c>
      <c r="S1268" s="240">
        <f t="shared" si="492"/>
        <v>1</v>
      </c>
      <c r="T1268" s="216" t="s">
        <v>48</v>
      </c>
      <c r="U1268" s="196" t="str">
        <f t="shared" si="490"/>
        <v>1 Hrs</v>
      </c>
    </row>
    <row r="1269" spans="3:21" s="185" customFormat="1" ht="20.25" customHeight="1">
      <c r="C1269" s="198"/>
      <c r="D1269" s="203">
        <f t="shared" si="477"/>
        <v>1259</v>
      </c>
      <c r="E1269" s="207" t="s">
        <v>680</v>
      </c>
      <c r="F1269" s="211">
        <f t="shared" si="502"/>
        <v>1258</v>
      </c>
      <c r="G1269" s="206" t="s">
        <v>640</v>
      </c>
      <c r="H1269" s="206"/>
      <c r="I1269" s="208"/>
      <c r="J1269" s="234" t="str">
        <f>J1268</f>
        <v>6130 lg</v>
      </c>
      <c r="K1269" s="234">
        <v>1</v>
      </c>
      <c r="L1269" s="208" t="s">
        <v>39</v>
      </c>
      <c r="M1269" s="217">
        <v>1</v>
      </c>
      <c r="N1269" s="208" t="s">
        <v>661</v>
      </c>
      <c r="O1269" s="218">
        <v>4</v>
      </c>
      <c r="P1269" s="208" t="s">
        <v>112</v>
      </c>
      <c r="Q1269" s="240">
        <f t="shared" si="501"/>
        <v>4</v>
      </c>
      <c r="R1269" s="239">
        <v>0</v>
      </c>
      <c r="S1269" s="240">
        <f t="shared" si="492"/>
        <v>4</v>
      </c>
      <c r="T1269" s="216" t="s">
        <v>48</v>
      </c>
      <c r="U1269" s="196" t="str">
        <f t="shared" si="490"/>
        <v>4 Hrs</v>
      </c>
    </row>
    <row r="1270" spans="3:21" s="185" customFormat="1" ht="20.25" customHeight="1">
      <c r="C1270" s="198">
        <f t="shared" ref="C1270" si="503">D1270</f>
        <v>1260</v>
      </c>
      <c r="D1270" s="203">
        <f t="shared" si="477"/>
        <v>1260</v>
      </c>
      <c r="E1270" s="204" t="s">
        <v>714</v>
      </c>
      <c r="F1270" s="210"/>
      <c r="G1270" s="206"/>
      <c r="H1270" s="206"/>
      <c r="I1270" s="208"/>
      <c r="J1270" s="208"/>
      <c r="K1270" s="234"/>
      <c r="L1270" s="208"/>
      <c r="M1270" s="217"/>
      <c r="N1270" s="208"/>
      <c r="O1270" s="218"/>
      <c r="P1270" s="208"/>
      <c r="Q1270" s="240"/>
      <c r="R1270" s="239"/>
      <c r="S1270" s="240"/>
      <c r="T1270" s="216"/>
      <c r="U1270" s="196"/>
    </row>
    <row r="1271" spans="3:21" s="185" customFormat="1" ht="20.25" customHeight="1">
      <c r="C1271" s="198"/>
      <c r="D1271" s="203">
        <f t="shared" si="477"/>
        <v>1261</v>
      </c>
      <c r="E1271" s="207" t="s">
        <v>715</v>
      </c>
      <c r="F1271" s="211"/>
      <c r="G1271" s="206" t="s">
        <v>201</v>
      </c>
      <c r="H1271" s="206"/>
      <c r="I1271" s="208"/>
      <c r="J1271" s="208"/>
      <c r="K1271" s="234">
        <v>1</v>
      </c>
      <c r="L1271" s="208" t="s">
        <v>84</v>
      </c>
      <c r="M1271" s="217">
        <v>1</v>
      </c>
      <c r="N1271" s="208"/>
      <c r="O1271" s="218">
        <v>16</v>
      </c>
      <c r="P1271" s="208" t="s">
        <v>112</v>
      </c>
      <c r="Q1271" s="240">
        <f t="shared" ref="Q1271:Q1288" si="504">M1271*O1271</f>
        <v>16</v>
      </c>
      <c r="R1271" s="239">
        <v>1</v>
      </c>
      <c r="S1271" s="240">
        <f t="shared" si="492"/>
        <v>17</v>
      </c>
      <c r="T1271" s="216" t="s">
        <v>48</v>
      </c>
      <c r="U1271" s="196" t="str">
        <f t="shared" si="490"/>
        <v>17 Hrs</v>
      </c>
    </row>
    <row r="1272" spans="3:21" s="185" customFormat="1" ht="20.25" customHeight="1">
      <c r="C1272" s="198"/>
      <c r="D1272" s="203">
        <f t="shared" si="477"/>
        <v>1262</v>
      </c>
      <c r="E1272" s="207" t="s">
        <v>716</v>
      </c>
      <c r="F1272" s="211">
        <f>D1271</f>
        <v>1261</v>
      </c>
      <c r="G1272" s="206" t="s">
        <v>656</v>
      </c>
      <c r="H1272" s="206"/>
      <c r="I1272" s="208"/>
      <c r="J1272" s="234" t="s">
        <v>717</v>
      </c>
      <c r="K1272" s="234">
        <v>1</v>
      </c>
      <c r="L1272" s="208" t="s">
        <v>84</v>
      </c>
      <c r="M1272" s="217">
        <v>1</v>
      </c>
      <c r="N1272" s="208" t="s">
        <v>661</v>
      </c>
      <c r="O1272" s="218">
        <v>12</v>
      </c>
      <c r="P1272" s="208" t="s">
        <v>112</v>
      </c>
      <c r="Q1272" s="240">
        <f t="shared" si="504"/>
        <v>12</v>
      </c>
      <c r="R1272" s="239">
        <v>1</v>
      </c>
      <c r="S1272" s="240">
        <f t="shared" si="492"/>
        <v>13</v>
      </c>
      <c r="T1272" s="216" t="s">
        <v>48</v>
      </c>
      <c r="U1272" s="196" t="str">
        <f t="shared" si="490"/>
        <v>13 Hrs</v>
      </c>
    </row>
    <row r="1273" spans="3:21" s="185" customFormat="1" ht="20.25" customHeight="1">
      <c r="C1273" s="198"/>
      <c r="D1273" s="203">
        <f t="shared" si="477"/>
        <v>1263</v>
      </c>
      <c r="E1273" s="207" t="s">
        <v>718</v>
      </c>
      <c r="F1273" s="211">
        <f>D1272</f>
        <v>1262</v>
      </c>
      <c r="G1273" s="206" t="s">
        <v>348</v>
      </c>
      <c r="H1273" s="206"/>
      <c r="I1273" s="208"/>
      <c r="J1273" s="234" t="s">
        <v>717</v>
      </c>
      <c r="K1273" s="234">
        <v>1</v>
      </c>
      <c r="L1273" s="208" t="s">
        <v>84</v>
      </c>
      <c r="M1273" s="217">
        <v>1</v>
      </c>
      <c r="N1273" s="208" t="s">
        <v>661</v>
      </c>
      <c r="O1273" s="218">
        <v>1</v>
      </c>
      <c r="P1273" s="208" t="s">
        <v>41</v>
      </c>
      <c r="Q1273" s="240">
        <f t="shared" si="504"/>
        <v>1</v>
      </c>
      <c r="R1273" s="239">
        <v>0</v>
      </c>
      <c r="S1273" s="240">
        <f t="shared" si="492"/>
        <v>1</v>
      </c>
      <c r="T1273" s="216" t="s">
        <v>42</v>
      </c>
      <c r="U1273" s="196" t="str">
        <f t="shared" si="490"/>
        <v>1 Days</v>
      </c>
    </row>
    <row r="1274" spans="3:21" s="185" customFormat="1" ht="20.25" customHeight="1">
      <c r="C1274" s="198"/>
      <c r="D1274" s="203">
        <f t="shared" si="477"/>
        <v>1264</v>
      </c>
      <c r="E1274" s="207" t="s">
        <v>719</v>
      </c>
      <c r="F1274" s="211">
        <f>D1273</f>
        <v>1263</v>
      </c>
      <c r="G1274" s="206" t="s">
        <v>640</v>
      </c>
      <c r="H1274" s="206"/>
      <c r="I1274" s="208"/>
      <c r="J1274" s="234" t="s">
        <v>717</v>
      </c>
      <c r="K1274" s="234">
        <v>1</v>
      </c>
      <c r="L1274" s="208" t="s">
        <v>84</v>
      </c>
      <c r="M1274" s="217">
        <v>1</v>
      </c>
      <c r="N1274" s="208" t="s">
        <v>661</v>
      </c>
      <c r="O1274" s="218">
        <v>12</v>
      </c>
      <c r="P1274" s="208" t="s">
        <v>112</v>
      </c>
      <c r="Q1274" s="240">
        <f t="shared" si="504"/>
        <v>12</v>
      </c>
      <c r="R1274" s="239">
        <v>0</v>
      </c>
      <c r="S1274" s="240">
        <f t="shared" si="492"/>
        <v>12</v>
      </c>
      <c r="T1274" s="216" t="s">
        <v>48</v>
      </c>
      <c r="U1274" s="196" t="str">
        <f t="shared" si="490"/>
        <v>12 Hrs</v>
      </c>
    </row>
    <row r="1275" spans="3:21" s="185" customFormat="1" ht="20.25" customHeight="1">
      <c r="C1275" s="198"/>
      <c r="D1275" s="203">
        <f t="shared" si="477"/>
        <v>1265</v>
      </c>
      <c r="E1275" s="207" t="s">
        <v>720</v>
      </c>
      <c r="F1275" s="211">
        <f>D1274</f>
        <v>1264</v>
      </c>
      <c r="G1275" s="206" t="s">
        <v>640</v>
      </c>
      <c r="H1275" s="206"/>
      <c r="I1275" s="208"/>
      <c r="J1275" s="234" t="s">
        <v>717</v>
      </c>
      <c r="K1275" s="234">
        <v>1</v>
      </c>
      <c r="L1275" s="208" t="s">
        <v>84</v>
      </c>
      <c r="M1275" s="217">
        <v>1</v>
      </c>
      <c r="N1275" s="208" t="s">
        <v>661</v>
      </c>
      <c r="O1275" s="218">
        <v>1</v>
      </c>
      <c r="P1275" s="208" t="s">
        <v>41</v>
      </c>
      <c r="Q1275" s="240">
        <f t="shared" si="504"/>
        <v>1</v>
      </c>
      <c r="R1275" s="239">
        <v>0</v>
      </c>
      <c r="S1275" s="240">
        <f t="shared" si="492"/>
        <v>1</v>
      </c>
      <c r="T1275" s="216" t="s">
        <v>42</v>
      </c>
      <c r="U1275" s="196" t="str">
        <f t="shared" si="490"/>
        <v>1 Days</v>
      </c>
    </row>
    <row r="1276" spans="3:21" s="185" customFormat="1" ht="20.25" customHeight="1">
      <c r="C1276" s="198"/>
      <c r="D1276" s="203">
        <f t="shared" si="477"/>
        <v>1266</v>
      </c>
      <c r="E1276" s="207" t="s">
        <v>721</v>
      </c>
      <c r="F1276" s="211">
        <f>D1275</f>
        <v>1265</v>
      </c>
      <c r="G1276" s="206" t="s">
        <v>640</v>
      </c>
      <c r="H1276" s="206"/>
      <c r="I1276" s="208"/>
      <c r="J1276" s="234" t="s">
        <v>717</v>
      </c>
      <c r="K1276" s="234">
        <v>1</v>
      </c>
      <c r="L1276" s="208" t="s">
        <v>84</v>
      </c>
      <c r="M1276" s="217">
        <v>1</v>
      </c>
      <c r="N1276" s="208" t="s">
        <v>661</v>
      </c>
      <c r="O1276" s="218">
        <v>6</v>
      </c>
      <c r="P1276" s="208" t="s">
        <v>112</v>
      </c>
      <c r="Q1276" s="240">
        <f t="shared" si="504"/>
        <v>6</v>
      </c>
      <c r="R1276" s="239">
        <v>0</v>
      </c>
      <c r="S1276" s="240">
        <f t="shared" si="492"/>
        <v>6</v>
      </c>
      <c r="T1276" s="216" t="s">
        <v>48</v>
      </c>
      <c r="U1276" s="196" t="str">
        <f t="shared" si="490"/>
        <v>6 Hrs</v>
      </c>
    </row>
    <row r="1277" spans="3:21" s="185" customFormat="1" ht="21" customHeight="1">
      <c r="C1277" s="198">
        <f>D1277</f>
        <v>1267</v>
      </c>
      <c r="D1277" s="203">
        <f t="shared" si="477"/>
        <v>1267</v>
      </c>
      <c r="E1277" s="204" t="s">
        <v>722</v>
      </c>
      <c r="F1277" s="210">
        <f>D1270</f>
        <v>1260</v>
      </c>
      <c r="G1277" s="206"/>
      <c r="H1277" s="206"/>
      <c r="I1277" s="208"/>
      <c r="J1277" s="208"/>
      <c r="K1277" s="234"/>
      <c r="L1277" s="208"/>
      <c r="M1277" s="217"/>
      <c r="N1277" s="208"/>
      <c r="O1277" s="218"/>
      <c r="P1277" s="208"/>
      <c r="Q1277" s="240"/>
      <c r="R1277" s="239"/>
      <c r="S1277" s="240"/>
      <c r="T1277" s="216"/>
      <c r="U1277" s="196"/>
    </row>
    <row r="1278" spans="3:21" s="185" customFormat="1" ht="21" customHeight="1">
      <c r="C1278" s="198"/>
      <c r="D1278" s="203">
        <f t="shared" si="477"/>
        <v>1268</v>
      </c>
      <c r="E1278" s="207" t="s">
        <v>723</v>
      </c>
      <c r="F1278" s="211"/>
      <c r="G1278" s="206" t="s">
        <v>640</v>
      </c>
      <c r="H1278" s="206"/>
      <c r="I1278" s="208"/>
      <c r="J1278" s="234" t="s">
        <v>717</v>
      </c>
      <c r="K1278" s="234">
        <v>1</v>
      </c>
      <c r="L1278" s="208" t="s">
        <v>84</v>
      </c>
      <c r="M1278" s="217">
        <v>1</v>
      </c>
      <c r="N1278" s="208" t="s">
        <v>661</v>
      </c>
      <c r="O1278" s="218">
        <v>16</v>
      </c>
      <c r="P1278" s="208" t="s">
        <v>112</v>
      </c>
      <c r="Q1278" s="240">
        <f t="shared" ref="Q1278" si="505">M1278*O1278</f>
        <v>16</v>
      </c>
      <c r="R1278" s="239">
        <v>0</v>
      </c>
      <c r="S1278" s="240">
        <f t="shared" si="492"/>
        <v>16</v>
      </c>
      <c r="T1278" s="216" t="s">
        <v>48</v>
      </c>
      <c r="U1278" s="196" t="str">
        <f t="shared" si="490"/>
        <v>16 Hrs</v>
      </c>
    </row>
    <row r="1279" spans="3:21" s="185" customFormat="1" ht="20.25" customHeight="1">
      <c r="C1279" s="198"/>
      <c r="D1279" s="203">
        <f t="shared" si="477"/>
        <v>1269</v>
      </c>
      <c r="E1279" s="207" t="s">
        <v>718</v>
      </c>
      <c r="F1279" s="211">
        <f>D1278</f>
        <v>1268</v>
      </c>
      <c r="G1279" s="206" t="s">
        <v>640</v>
      </c>
      <c r="H1279" s="206"/>
      <c r="I1279" s="208"/>
      <c r="J1279" s="234" t="s">
        <v>717</v>
      </c>
      <c r="K1279" s="234">
        <v>1</v>
      </c>
      <c r="L1279" s="208" t="s">
        <v>84</v>
      </c>
      <c r="M1279" s="217">
        <v>1</v>
      </c>
      <c r="N1279" s="208" t="s">
        <v>661</v>
      </c>
      <c r="O1279" s="218">
        <v>6</v>
      </c>
      <c r="P1279" s="208" t="s">
        <v>112</v>
      </c>
      <c r="Q1279" s="240">
        <f t="shared" si="504"/>
        <v>6</v>
      </c>
      <c r="R1279" s="239">
        <v>0</v>
      </c>
      <c r="S1279" s="240">
        <f t="shared" si="492"/>
        <v>6</v>
      </c>
      <c r="T1279" s="216" t="s">
        <v>48</v>
      </c>
      <c r="U1279" s="196" t="str">
        <f t="shared" si="490"/>
        <v>6 Hrs</v>
      </c>
    </row>
    <row r="1280" spans="3:21" s="185" customFormat="1" ht="20.25" customHeight="1">
      <c r="C1280" s="198"/>
      <c r="D1280" s="203">
        <f t="shared" si="477"/>
        <v>1270</v>
      </c>
      <c r="E1280" s="207" t="s">
        <v>722</v>
      </c>
      <c r="F1280" s="211">
        <f>D1279</f>
        <v>1269</v>
      </c>
      <c r="G1280" s="206" t="s">
        <v>640</v>
      </c>
      <c r="H1280" s="206"/>
      <c r="I1280" s="208"/>
      <c r="J1280" s="234" t="s">
        <v>717</v>
      </c>
      <c r="K1280" s="234">
        <v>1</v>
      </c>
      <c r="L1280" s="208" t="s">
        <v>84</v>
      </c>
      <c r="M1280" s="217">
        <v>1</v>
      </c>
      <c r="N1280" s="208" t="s">
        <v>661</v>
      </c>
      <c r="O1280" s="218">
        <v>12</v>
      </c>
      <c r="P1280" s="208" t="s">
        <v>112</v>
      </c>
      <c r="Q1280" s="240">
        <f t="shared" si="504"/>
        <v>12</v>
      </c>
      <c r="R1280" s="239">
        <v>0</v>
      </c>
      <c r="S1280" s="240">
        <f t="shared" si="492"/>
        <v>12</v>
      </c>
      <c r="T1280" s="216" t="s">
        <v>48</v>
      </c>
      <c r="U1280" s="196" t="str">
        <f t="shared" si="490"/>
        <v>12 Hrs</v>
      </c>
    </row>
    <row r="1281" spans="3:21" s="185" customFormat="1" ht="20.25" customHeight="1">
      <c r="C1281" s="198"/>
      <c r="D1281" s="203">
        <f t="shared" si="477"/>
        <v>1271</v>
      </c>
      <c r="E1281" s="207" t="s">
        <v>724</v>
      </c>
      <c r="F1281" s="211">
        <f t="shared" ref="F1281:F1282" si="506">D1280</f>
        <v>1270</v>
      </c>
      <c r="G1281" s="206" t="s">
        <v>640</v>
      </c>
      <c r="H1281" s="206"/>
      <c r="I1281" s="208"/>
      <c r="J1281" s="234" t="s">
        <v>717</v>
      </c>
      <c r="K1281" s="234">
        <v>1</v>
      </c>
      <c r="L1281" s="208" t="s">
        <v>84</v>
      </c>
      <c r="M1281" s="217">
        <v>1</v>
      </c>
      <c r="N1281" s="208" t="s">
        <v>661</v>
      </c>
      <c r="O1281" s="218">
        <v>1</v>
      </c>
      <c r="P1281" s="208" t="s">
        <v>41</v>
      </c>
      <c r="Q1281" s="240">
        <f t="shared" si="504"/>
        <v>1</v>
      </c>
      <c r="R1281" s="239">
        <v>0</v>
      </c>
      <c r="S1281" s="240">
        <f t="shared" si="492"/>
        <v>1</v>
      </c>
      <c r="T1281" s="216" t="s">
        <v>42</v>
      </c>
      <c r="U1281" s="196" t="str">
        <f t="shared" si="490"/>
        <v>1 Days</v>
      </c>
    </row>
    <row r="1282" spans="3:21" s="185" customFormat="1" ht="20.25" customHeight="1">
      <c r="C1282" s="198"/>
      <c r="D1282" s="203">
        <f t="shared" si="477"/>
        <v>1272</v>
      </c>
      <c r="E1282" s="207" t="s">
        <v>721</v>
      </c>
      <c r="F1282" s="211">
        <f t="shared" si="506"/>
        <v>1271</v>
      </c>
      <c r="G1282" s="206" t="s">
        <v>640</v>
      </c>
      <c r="H1282" s="206"/>
      <c r="I1282" s="208"/>
      <c r="J1282" s="234" t="s">
        <v>717</v>
      </c>
      <c r="K1282" s="234">
        <v>1</v>
      </c>
      <c r="L1282" s="208" t="s">
        <v>84</v>
      </c>
      <c r="M1282" s="217">
        <v>1</v>
      </c>
      <c r="N1282" s="208" t="s">
        <v>661</v>
      </c>
      <c r="O1282" s="218">
        <v>6</v>
      </c>
      <c r="P1282" s="208" t="s">
        <v>112</v>
      </c>
      <c r="Q1282" s="240">
        <f t="shared" si="504"/>
        <v>6</v>
      </c>
      <c r="R1282" s="239">
        <v>0</v>
      </c>
      <c r="S1282" s="240">
        <f t="shared" si="492"/>
        <v>6</v>
      </c>
      <c r="T1282" s="216" t="s">
        <v>48</v>
      </c>
      <c r="U1282" s="196" t="str">
        <f t="shared" si="490"/>
        <v>6 Hrs</v>
      </c>
    </row>
    <row r="1283" spans="3:21" s="185" customFormat="1" ht="20.25" customHeight="1">
      <c r="C1283" s="198">
        <f>D1283</f>
        <v>1273</v>
      </c>
      <c r="D1283" s="203">
        <f t="shared" si="477"/>
        <v>1273</v>
      </c>
      <c r="E1283" s="204" t="s">
        <v>725</v>
      </c>
      <c r="F1283" s="210">
        <f>C1277</f>
        <v>1267</v>
      </c>
      <c r="G1283" s="206"/>
      <c r="H1283" s="206"/>
      <c r="I1283" s="208"/>
      <c r="J1283" s="208"/>
      <c r="K1283" s="234"/>
      <c r="L1283" s="208"/>
      <c r="M1283" s="217"/>
      <c r="N1283" s="208"/>
      <c r="O1283" s="218"/>
      <c r="P1283" s="208"/>
      <c r="Q1283" s="240"/>
      <c r="R1283" s="239"/>
      <c r="S1283" s="240"/>
      <c r="T1283" s="216"/>
      <c r="U1283" s="196"/>
    </row>
    <row r="1284" spans="3:21" s="185" customFormat="1" ht="20.25" customHeight="1">
      <c r="C1284" s="198"/>
      <c r="D1284" s="203">
        <f t="shared" ref="D1284:D1288" si="507">D1283+1</f>
        <v>1274</v>
      </c>
      <c r="E1284" s="206" t="s">
        <v>726</v>
      </c>
      <c r="F1284" s="211"/>
      <c r="G1284" s="206" t="s">
        <v>640</v>
      </c>
      <c r="H1284" s="206"/>
      <c r="I1284" s="208"/>
      <c r="J1284" s="234" t="s">
        <v>717</v>
      </c>
      <c r="K1284" s="234">
        <v>1</v>
      </c>
      <c r="L1284" s="208" t="s">
        <v>84</v>
      </c>
      <c r="M1284" s="217">
        <v>1</v>
      </c>
      <c r="N1284" s="208" t="s">
        <v>661</v>
      </c>
      <c r="O1284" s="218">
        <v>12</v>
      </c>
      <c r="P1284" s="208" t="s">
        <v>112</v>
      </c>
      <c r="Q1284" s="240">
        <f t="shared" si="504"/>
        <v>12</v>
      </c>
      <c r="R1284" s="239">
        <v>0</v>
      </c>
      <c r="S1284" s="240">
        <f t="shared" si="492"/>
        <v>12</v>
      </c>
      <c r="T1284" s="216" t="s">
        <v>48</v>
      </c>
      <c r="U1284" s="196" t="str">
        <f t="shared" si="490"/>
        <v>12 Hrs</v>
      </c>
    </row>
    <row r="1285" spans="3:21" s="185" customFormat="1" ht="20.25" customHeight="1">
      <c r="C1285" s="198">
        <f>D1285</f>
        <v>1275</v>
      </c>
      <c r="D1285" s="203">
        <f t="shared" si="507"/>
        <v>1275</v>
      </c>
      <c r="E1285" s="204" t="s">
        <v>727</v>
      </c>
      <c r="F1285" s="210">
        <f>C1283</f>
        <v>1273</v>
      </c>
      <c r="G1285" s="206"/>
      <c r="H1285" s="206"/>
      <c r="I1285" s="208"/>
      <c r="J1285" s="208"/>
      <c r="K1285" s="234"/>
      <c r="L1285" s="208"/>
      <c r="M1285" s="217"/>
      <c r="N1285" s="208"/>
      <c r="O1285" s="218"/>
      <c r="P1285" s="208"/>
      <c r="Q1285" s="240"/>
      <c r="R1285" s="239"/>
      <c r="S1285" s="240"/>
      <c r="T1285" s="216"/>
      <c r="U1285" s="196"/>
    </row>
    <row r="1286" spans="3:21" s="185" customFormat="1" ht="20.25" customHeight="1">
      <c r="C1286" s="198"/>
      <c r="D1286" s="203">
        <f t="shared" si="507"/>
        <v>1276</v>
      </c>
      <c r="E1286" s="206" t="s">
        <v>728</v>
      </c>
      <c r="F1286" s="211"/>
      <c r="G1286" s="206" t="s">
        <v>640</v>
      </c>
      <c r="H1286" s="206"/>
      <c r="I1286" s="208"/>
      <c r="J1286" s="234" t="s">
        <v>717</v>
      </c>
      <c r="K1286" s="234">
        <v>1</v>
      </c>
      <c r="L1286" s="208" t="s">
        <v>84</v>
      </c>
      <c r="M1286" s="217">
        <v>1</v>
      </c>
      <c r="N1286" s="208" t="s">
        <v>661</v>
      </c>
      <c r="O1286" s="218">
        <v>1</v>
      </c>
      <c r="P1286" s="208" t="s">
        <v>41</v>
      </c>
      <c r="Q1286" s="240">
        <f t="shared" si="504"/>
        <v>1</v>
      </c>
      <c r="R1286" s="239">
        <v>0</v>
      </c>
      <c r="S1286" s="240">
        <f t="shared" si="492"/>
        <v>1</v>
      </c>
      <c r="T1286" s="216" t="s">
        <v>42</v>
      </c>
      <c r="U1286" s="196" t="str">
        <f t="shared" si="490"/>
        <v>1 Days</v>
      </c>
    </row>
    <row r="1287" spans="3:21" s="185" customFormat="1" ht="20.25" customHeight="1">
      <c r="C1287" s="198"/>
      <c r="D1287" s="203">
        <f t="shared" si="507"/>
        <v>1277</v>
      </c>
      <c r="E1287" s="206" t="s">
        <v>729</v>
      </c>
      <c r="F1287" s="211">
        <f>D1286</f>
        <v>1276</v>
      </c>
      <c r="G1287" s="206" t="s">
        <v>640</v>
      </c>
      <c r="H1287" s="206"/>
      <c r="I1287" s="208"/>
      <c r="J1287" s="234" t="s">
        <v>717</v>
      </c>
      <c r="K1287" s="234">
        <v>1</v>
      </c>
      <c r="L1287" s="208" t="s">
        <v>84</v>
      </c>
      <c r="M1287" s="217">
        <v>1</v>
      </c>
      <c r="N1287" s="208" t="s">
        <v>661</v>
      </c>
      <c r="O1287" s="218">
        <v>1</v>
      </c>
      <c r="P1287" s="208" t="s">
        <v>41</v>
      </c>
      <c r="Q1287" s="240">
        <f t="shared" si="504"/>
        <v>1</v>
      </c>
      <c r="R1287" s="239">
        <v>0</v>
      </c>
      <c r="S1287" s="240">
        <f t="shared" si="492"/>
        <v>1</v>
      </c>
      <c r="T1287" s="216" t="s">
        <v>42</v>
      </c>
      <c r="U1287" s="196" t="str">
        <f t="shared" si="490"/>
        <v>1 Days</v>
      </c>
    </row>
    <row r="1288" spans="3:21" s="185" customFormat="1" ht="20.25" customHeight="1">
      <c r="C1288" s="198"/>
      <c r="D1288" s="203">
        <f t="shared" si="507"/>
        <v>1278</v>
      </c>
      <c r="E1288" s="206" t="s">
        <v>730</v>
      </c>
      <c r="F1288" s="211">
        <f>D1287</f>
        <v>1277</v>
      </c>
      <c r="G1288" s="206" t="s">
        <v>640</v>
      </c>
      <c r="H1288" s="206"/>
      <c r="I1288" s="208"/>
      <c r="J1288" s="234" t="s">
        <v>717</v>
      </c>
      <c r="K1288" s="234">
        <v>1</v>
      </c>
      <c r="L1288" s="208" t="s">
        <v>84</v>
      </c>
      <c r="M1288" s="217">
        <v>1</v>
      </c>
      <c r="N1288" s="208" t="s">
        <v>661</v>
      </c>
      <c r="O1288" s="218">
        <v>1</v>
      </c>
      <c r="P1288" s="208" t="s">
        <v>41</v>
      </c>
      <c r="Q1288" s="240">
        <f t="shared" si="504"/>
        <v>1</v>
      </c>
      <c r="R1288" s="239">
        <v>0</v>
      </c>
      <c r="S1288" s="240">
        <f t="shared" si="492"/>
        <v>1</v>
      </c>
      <c r="T1288" s="216" t="s">
        <v>42</v>
      </c>
      <c r="U1288" s="196" t="str">
        <f t="shared" si="490"/>
        <v>1 Days</v>
      </c>
    </row>
    <row r="1289" spans="3:21" ht="20.25" customHeight="1">
      <c r="F1289" s="191"/>
    </row>
    <row r="1290" spans="3:21" ht="20.25" customHeight="1">
      <c r="F1290" s="191"/>
    </row>
    <row r="1291" spans="3:21" ht="20.25" customHeight="1">
      <c r="F1291" s="191"/>
    </row>
    <row r="1292" spans="3:21" ht="20.25" customHeight="1">
      <c r="F1292" s="191"/>
    </row>
    <row r="1293" spans="3:21" ht="20.25" customHeight="1">
      <c r="F1293" s="191"/>
    </row>
    <row r="1294" spans="3:21" ht="20.25" customHeight="1">
      <c r="F1294" s="191"/>
    </row>
    <row r="1295" spans="3:21" ht="20.25" customHeight="1">
      <c r="F1295" s="191"/>
    </row>
    <row r="1296" spans="3:21" ht="20.25" customHeight="1">
      <c r="F1296" s="191"/>
    </row>
    <row r="1297" spans="6:6" ht="20.25" customHeight="1">
      <c r="F1297" s="191"/>
    </row>
    <row r="1298" spans="6:6" ht="20.25" customHeight="1">
      <c r="F1298" s="191"/>
    </row>
    <row r="1299" spans="6:6" ht="20.25" customHeight="1">
      <c r="F1299" s="191"/>
    </row>
    <row r="1300" spans="6:6" ht="20.25" customHeight="1">
      <c r="F1300" s="191"/>
    </row>
    <row r="1301" spans="6:6" ht="20.25" customHeight="1">
      <c r="F1301" s="191"/>
    </row>
    <row r="1302" spans="6:6" ht="20.25" customHeight="1">
      <c r="F1302" s="191"/>
    </row>
    <row r="1303" spans="6:6" ht="20.25" customHeight="1">
      <c r="F1303" s="191"/>
    </row>
    <row r="1304" spans="6:6" ht="20.25" customHeight="1">
      <c r="F1304" s="191"/>
    </row>
    <row r="1305" spans="6:6" ht="20.25" customHeight="1">
      <c r="F1305" s="191"/>
    </row>
    <row r="1306" spans="6:6" ht="20.25" customHeight="1">
      <c r="F1306" s="191"/>
    </row>
    <row r="1307" spans="6:6" ht="20.25" customHeight="1">
      <c r="F1307" s="191"/>
    </row>
    <row r="1308" spans="6:6" ht="20.25" customHeight="1">
      <c r="F1308" s="191"/>
    </row>
    <row r="1309" spans="6:6" ht="20.25" customHeight="1">
      <c r="F1309" s="191"/>
    </row>
    <row r="1310" spans="6:6" ht="20.25" customHeight="1">
      <c r="F1310" s="191"/>
    </row>
    <row r="1311" spans="6:6" ht="20.25" customHeight="1">
      <c r="F1311" s="191"/>
    </row>
    <row r="1312" spans="6:6" ht="20.25" customHeight="1">
      <c r="F1312" s="191"/>
    </row>
    <row r="1313" spans="6:6" ht="20.25" customHeight="1">
      <c r="F1313" s="191"/>
    </row>
    <row r="1314" spans="6:6" ht="20.25" customHeight="1">
      <c r="F1314" s="191"/>
    </row>
    <row r="1315" spans="6:6" ht="20.25" customHeight="1">
      <c r="F1315" s="191"/>
    </row>
    <row r="1316" spans="6:6" ht="20.25" customHeight="1">
      <c r="F1316" s="191"/>
    </row>
    <row r="1317" spans="6:6" ht="20.25" customHeight="1">
      <c r="F1317" s="191"/>
    </row>
    <row r="1318" spans="6:6" ht="20.25" customHeight="1">
      <c r="F1318" s="191"/>
    </row>
    <row r="1319" spans="6:6" ht="20.25" customHeight="1">
      <c r="F1319" s="191"/>
    </row>
    <row r="1320" spans="6:6" ht="20.25" customHeight="1">
      <c r="F1320" s="191"/>
    </row>
    <row r="1321" spans="6:6" ht="20.25" customHeight="1">
      <c r="F1321" s="191"/>
    </row>
    <row r="1322" spans="6:6" ht="20.25" customHeight="1">
      <c r="F1322" s="191"/>
    </row>
    <row r="1323" spans="6:6" ht="20.25" customHeight="1">
      <c r="F1323" s="191"/>
    </row>
    <row r="1324" spans="6:6" ht="20.25" customHeight="1">
      <c r="F1324" s="191"/>
    </row>
    <row r="1325" spans="6:6" ht="20.25" customHeight="1">
      <c r="F1325" s="191"/>
    </row>
    <row r="1326" spans="6:6" ht="20.25" customHeight="1">
      <c r="F1326" s="191"/>
    </row>
    <row r="1327" spans="6:6" ht="20.25" customHeight="1">
      <c r="F1327" s="191"/>
    </row>
    <row r="1328" spans="6:6" ht="20.25" customHeight="1">
      <c r="F1328" s="191"/>
    </row>
    <row r="1329" spans="6:6" ht="20.25" customHeight="1">
      <c r="F1329" s="191"/>
    </row>
    <row r="1330" spans="6:6" ht="20.25" customHeight="1">
      <c r="F1330" s="191"/>
    </row>
    <row r="1331" spans="6:6" ht="20.25" customHeight="1">
      <c r="F1331" s="191"/>
    </row>
  </sheetData>
  <sheetProtection formatCells="0" formatColumns="0" formatRows="0" insertColumns="0" insertRows="0" insertHyperlinks="0" deleteColumns="0" deleteRows="0" sort="0" autoFilter="0" pivotTables="0"/>
  <autoFilter ref="S1:S1331"/>
  <pageMargins left="0.41944444444444401" right="0.27916666666666701" top="0.75" bottom="0.3" header="0.3" footer="0.3"/>
  <pageSetup paperSize="9" scale="80" orientation="landscape"/>
  <headerFooter>
    <oddFooter>&amp;C
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331"/>
  <sheetViews>
    <sheetView showGridLines="0" topLeftCell="B218" zoomScale="90" zoomScaleNormal="90" workbookViewId="0">
      <selection activeCell="N228" sqref="N228"/>
    </sheetView>
  </sheetViews>
  <sheetFormatPr defaultColWidth="9" defaultRowHeight="20.25" customHeight="1"/>
  <cols>
    <col min="1" max="1" width="7.265625" style="185" hidden="1" customWidth="1"/>
    <col min="2" max="2" width="4.86328125" style="185" customWidth="1"/>
    <col min="3" max="3" width="5.59765625" style="186" customWidth="1"/>
    <col min="4" max="4" width="5.86328125" style="187" customWidth="1"/>
    <col min="5" max="5" width="35.73046875" style="188" customWidth="1"/>
    <col min="6" max="6" width="10.3984375" style="189" customWidth="1"/>
    <col min="7" max="7" width="11.86328125" style="190" customWidth="1"/>
    <col min="8" max="8" width="6.59765625" style="190" customWidth="1"/>
    <col min="9" max="9" width="7.73046875" style="191" customWidth="1"/>
    <col min="10" max="10" width="12.73046875" style="191" customWidth="1"/>
    <col min="11" max="11" width="5" style="192" customWidth="1"/>
    <col min="12" max="12" width="6" style="191" customWidth="1"/>
    <col min="13" max="13" width="8.59765625" style="193" customWidth="1"/>
    <col min="14" max="14" width="7.265625" style="191" customWidth="1"/>
    <col min="15" max="15" width="6.59765625" style="194" customWidth="1"/>
    <col min="16" max="16" width="6.3984375" style="191" customWidth="1"/>
    <col min="17" max="17" width="8.86328125" style="191" customWidth="1"/>
    <col min="18" max="18" width="3.265625" style="195" customWidth="1"/>
    <col min="19" max="19" width="10.59765625" style="193" customWidth="1"/>
    <col min="20" max="20" width="5.1328125" style="192" customWidth="1"/>
    <col min="21" max="21" width="11.86328125" style="196" customWidth="1"/>
    <col min="22" max="16365" width="9" style="185"/>
    <col min="16366" max="16384" width="9" style="197"/>
  </cols>
  <sheetData>
    <row r="1" spans="3:21" s="184" customFormat="1" ht="34.5" customHeight="1">
      <c r="C1" s="198">
        <f>D1</f>
        <v>1</v>
      </c>
      <c r="D1" s="199">
        <v>1</v>
      </c>
      <c r="E1" s="200" t="s">
        <v>0</v>
      </c>
      <c r="F1" s="201"/>
      <c r="G1" s="202"/>
      <c r="H1" s="202" t="s">
        <v>1</v>
      </c>
      <c r="I1" s="213" t="s">
        <v>2</v>
      </c>
      <c r="J1" s="213" t="s">
        <v>3</v>
      </c>
      <c r="K1" s="213" t="s">
        <v>4</v>
      </c>
      <c r="L1" s="213" t="s">
        <v>5</v>
      </c>
      <c r="M1" s="214" t="s">
        <v>6</v>
      </c>
      <c r="N1" s="213" t="s">
        <v>5</v>
      </c>
      <c r="O1" s="215" t="s">
        <v>7</v>
      </c>
      <c r="P1" s="213" t="s">
        <v>5</v>
      </c>
      <c r="Q1" s="213" t="s">
        <v>8</v>
      </c>
      <c r="R1" s="236" t="s">
        <v>9</v>
      </c>
      <c r="S1" s="214" t="s">
        <v>10</v>
      </c>
      <c r="T1" s="237" t="s">
        <v>5</v>
      </c>
      <c r="U1" s="238"/>
    </row>
    <row r="2" spans="3:21" s="185" customFormat="1" ht="20.25" customHeight="1">
      <c r="C2" s="198">
        <f>D2</f>
        <v>2</v>
      </c>
      <c r="D2" s="203">
        <f>D1+1</f>
        <v>2</v>
      </c>
      <c r="E2" s="204" t="s">
        <v>11</v>
      </c>
      <c r="F2" s="205"/>
      <c r="G2" s="206"/>
      <c r="H2" s="206"/>
      <c r="I2" s="208"/>
      <c r="J2" s="208"/>
      <c r="K2" s="216"/>
      <c r="L2" s="208"/>
      <c r="M2" s="217"/>
      <c r="N2" s="208"/>
      <c r="O2" s="218"/>
      <c r="P2" s="208"/>
      <c r="Q2" s="208"/>
      <c r="R2" s="239"/>
      <c r="S2" s="217"/>
      <c r="T2" s="216"/>
      <c r="U2" s="196"/>
    </row>
    <row r="3" spans="3:21" s="185" customFormat="1" ht="20.25" customHeight="1">
      <c r="C3" s="198">
        <f t="shared" ref="C3:C26" si="0">D3</f>
        <v>3</v>
      </c>
      <c r="D3" s="203">
        <f t="shared" ref="D3:D66" si="1">D2+1</f>
        <v>3</v>
      </c>
      <c r="E3" s="207" t="s">
        <v>12</v>
      </c>
      <c r="F3" s="208"/>
      <c r="G3" s="206"/>
      <c r="H3" s="206"/>
      <c r="I3" s="208"/>
      <c r="J3" s="208"/>
      <c r="K3" s="216"/>
      <c r="L3" s="208"/>
      <c r="M3" s="217"/>
      <c r="N3" s="208"/>
      <c r="O3" s="218"/>
      <c r="P3" s="208"/>
      <c r="Q3" s="208"/>
      <c r="R3" s="239"/>
      <c r="S3" s="217"/>
      <c r="T3" s="216"/>
      <c r="U3" s="196"/>
    </row>
    <row r="4" spans="3:21" s="185" customFormat="1" ht="20.25" customHeight="1">
      <c r="C4" s="198">
        <f t="shared" si="0"/>
        <v>4</v>
      </c>
      <c r="D4" s="203">
        <f t="shared" si="1"/>
        <v>4</v>
      </c>
      <c r="E4" s="207" t="s">
        <v>13</v>
      </c>
      <c r="F4" s="208"/>
      <c r="G4" s="206"/>
      <c r="H4" s="206"/>
      <c r="I4" s="208"/>
      <c r="J4" s="208"/>
      <c r="K4" s="216"/>
      <c r="L4" s="208"/>
      <c r="M4" s="217"/>
      <c r="N4" s="208"/>
      <c r="O4" s="218"/>
      <c r="P4" s="208"/>
      <c r="Q4" s="208"/>
      <c r="R4" s="239"/>
      <c r="S4" s="217"/>
      <c r="T4" s="216"/>
      <c r="U4" s="196"/>
    </row>
    <row r="5" spans="3:21" s="185" customFormat="1" ht="20.25" customHeight="1">
      <c r="C5" s="198">
        <f t="shared" si="0"/>
        <v>5</v>
      </c>
      <c r="D5" s="203">
        <f t="shared" si="1"/>
        <v>5</v>
      </c>
      <c r="E5" s="207" t="s">
        <v>14</v>
      </c>
      <c r="F5" s="208"/>
      <c r="G5" s="206"/>
      <c r="H5" s="206"/>
      <c r="I5" s="208"/>
      <c r="J5" s="208"/>
      <c r="K5" s="216"/>
      <c r="L5" s="208"/>
      <c r="M5" s="217"/>
      <c r="N5" s="208"/>
      <c r="O5" s="218"/>
      <c r="P5" s="208"/>
      <c r="Q5" s="208"/>
      <c r="R5" s="239"/>
      <c r="S5" s="217"/>
      <c r="T5" s="216"/>
      <c r="U5" s="196"/>
    </row>
    <row r="6" spans="3:21" s="185" customFormat="1" ht="20.25" customHeight="1">
      <c r="C6" s="198">
        <f t="shared" si="0"/>
        <v>6</v>
      </c>
      <c r="D6" s="203">
        <f t="shared" si="1"/>
        <v>6</v>
      </c>
      <c r="E6" s="207" t="s">
        <v>15</v>
      </c>
      <c r="F6" s="208"/>
      <c r="G6" s="206"/>
      <c r="H6" s="206"/>
      <c r="I6" s="208"/>
      <c r="J6" s="208"/>
      <c r="K6" s="216"/>
      <c r="L6" s="208"/>
      <c r="M6" s="217"/>
      <c r="N6" s="208"/>
      <c r="O6" s="218"/>
      <c r="P6" s="208"/>
      <c r="Q6" s="208"/>
      <c r="R6" s="239"/>
      <c r="S6" s="217"/>
      <c r="T6" s="216"/>
      <c r="U6" s="196"/>
    </row>
    <row r="7" spans="3:21" s="185" customFormat="1" ht="20.25" customHeight="1">
      <c r="C7" s="198">
        <f t="shared" si="0"/>
        <v>7</v>
      </c>
      <c r="D7" s="203">
        <f t="shared" si="1"/>
        <v>7</v>
      </c>
      <c r="E7" s="207" t="s">
        <v>16</v>
      </c>
      <c r="F7" s="208"/>
      <c r="G7" s="206"/>
      <c r="H7" s="206"/>
      <c r="I7" s="208"/>
      <c r="J7" s="208"/>
      <c r="K7" s="216"/>
      <c r="L7" s="208"/>
      <c r="M7" s="217"/>
      <c r="N7" s="208"/>
      <c r="O7" s="218"/>
      <c r="P7" s="208"/>
      <c r="Q7" s="208"/>
      <c r="R7" s="239"/>
      <c r="S7" s="217"/>
      <c r="T7" s="216"/>
      <c r="U7" s="196"/>
    </row>
    <row r="8" spans="3:21" s="185" customFormat="1" ht="20.25" customHeight="1">
      <c r="C8" s="198">
        <f t="shared" si="0"/>
        <v>8</v>
      </c>
      <c r="D8" s="203">
        <f t="shared" si="1"/>
        <v>8</v>
      </c>
      <c r="E8" s="207" t="s">
        <v>17</v>
      </c>
      <c r="F8" s="208"/>
      <c r="G8" s="206"/>
      <c r="H8" s="206"/>
      <c r="I8" s="208"/>
      <c r="J8" s="208"/>
      <c r="K8" s="216"/>
      <c r="L8" s="208"/>
      <c r="M8" s="217"/>
      <c r="N8" s="208"/>
      <c r="O8" s="218"/>
      <c r="P8" s="208"/>
      <c r="Q8" s="208"/>
      <c r="R8" s="239"/>
      <c r="S8" s="217"/>
      <c r="T8" s="216"/>
      <c r="U8" s="196"/>
    </row>
    <row r="9" spans="3:21" s="185" customFormat="1" ht="20.25" customHeight="1">
      <c r="C9" s="198">
        <f t="shared" si="0"/>
        <v>9</v>
      </c>
      <c r="D9" s="203">
        <f t="shared" si="1"/>
        <v>9</v>
      </c>
      <c r="E9" s="207" t="s">
        <v>18</v>
      </c>
      <c r="F9" s="208"/>
      <c r="G9" s="206"/>
      <c r="H9" s="206"/>
      <c r="I9" s="208"/>
      <c r="J9" s="208"/>
      <c r="K9" s="216"/>
      <c r="L9" s="208"/>
      <c r="M9" s="217"/>
      <c r="N9" s="208"/>
      <c r="O9" s="218"/>
      <c r="P9" s="208"/>
      <c r="Q9" s="208"/>
      <c r="R9" s="239"/>
      <c r="S9" s="217"/>
      <c r="T9" s="216"/>
      <c r="U9" s="196"/>
    </row>
    <row r="10" spans="3:21" s="185" customFormat="1" ht="20.25" customHeight="1">
      <c r="C10" s="198">
        <f t="shared" si="0"/>
        <v>10</v>
      </c>
      <c r="D10" s="203">
        <f t="shared" si="1"/>
        <v>10</v>
      </c>
      <c r="E10" s="207" t="s">
        <v>19</v>
      </c>
      <c r="F10" s="208"/>
      <c r="G10" s="206"/>
      <c r="H10" s="206"/>
      <c r="I10" s="208"/>
      <c r="J10" s="208"/>
      <c r="K10" s="216"/>
      <c r="L10" s="208"/>
      <c r="M10" s="217"/>
      <c r="N10" s="208"/>
      <c r="O10" s="218"/>
      <c r="P10" s="208"/>
      <c r="Q10" s="208"/>
      <c r="R10" s="239"/>
      <c r="S10" s="217"/>
      <c r="T10" s="216"/>
      <c r="U10" s="196"/>
    </row>
    <row r="11" spans="3:21" s="185" customFormat="1" ht="20.25" customHeight="1">
      <c r="C11" s="198">
        <f t="shared" si="0"/>
        <v>11</v>
      </c>
      <c r="D11" s="203">
        <f t="shared" si="1"/>
        <v>11</v>
      </c>
      <c r="E11" s="207" t="s">
        <v>20</v>
      </c>
      <c r="F11" s="208"/>
      <c r="G11" s="206"/>
      <c r="H11" s="206"/>
      <c r="I11" s="208"/>
      <c r="J11" s="208"/>
      <c r="K11" s="216"/>
      <c r="L11" s="208"/>
      <c r="M11" s="217"/>
      <c r="N11" s="208"/>
      <c r="O11" s="218"/>
      <c r="P11" s="208"/>
      <c r="Q11" s="208"/>
      <c r="R11" s="239"/>
      <c r="S11" s="217"/>
      <c r="T11" s="216"/>
      <c r="U11" s="196"/>
    </row>
    <row r="12" spans="3:21" s="185" customFormat="1" ht="20.25" customHeight="1">
      <c r="C12" s="198">
        <f t="shared" si="0"/>
        <v>12</v>
      </c>
      <c r="D12" s="203">
        <f t="shared" si="1"/>
        <v>12</v>
      </c>
      <c r="E12" s="207" t="s">
        <v>21</v>
      </c>
      <c r="F12" s="208"/>
      <c r="G12" s="206"/>
      <c r="H12" s="206"/>
      <c r="I12" s="208"/>
      <c r="J12" s="208"/>
      <c r="K12" s="216"/>
      <c r="L12" s="208"/>
      <c r="M12" s="217"/>
      <c r="N12" s="208"/>
      <c r="O12" s="218"/>
      <c r="P12" s="208"/>
      <c r="Q12" s="208"/>
      <c r="R12" s="239"/>
      <c r="S12" s="217"/>
      <c r="T12" s="216"/>
      <c r="U12" s="196"/>
    </row>
    <row r="13" spans="3:21" s="185" customFormat="1" ht="20.25" customHeight="1">
      <c r="C13" s="198">
        <f t="shared" si="0"/>
        <v>13</v>
      </c>
      <c r="D13" s="203">
        <f t="shared" si="1"/>
        <v>13</v>
      </c>
      <c r="E13" s="207" t="s">
        <v>22</v>
      </c>
      <c r="F13" s="208"/>
      <c r="G13" s="206"/>
      <c r="H13" s="206"/>
      <c r="I13" s="208"/>
      <c r="J13" s="208"/>
      <c r="K13" s="216"/>
      <c r="L13" s="208"/>
      <c r="M13" s="217"/>
      <c r="N13" s="208"/>
      <c r="O13" s="218"/>
      <c r="P13" s="208"/>
      <c r="Q13" s="208"/>
      <c r="R13" s="239"/>
      <c r="S13" s="217"/>
      <c r="T13" s="216"/>
      <c r="U13" s="196"/>
    </row>
    <row r="14" spans="3:21" s="185" customFormat="1" ht="20.25" customHeight="1">
      <c r="C14" s="198">
        <f t="shared" si="0"/>
        <v>14</v>
      </c>
      <c r="D14" s="203">
        <f t="shared" si="1"/>
        <v>14</v>
      </c>
      <c r="E14" s="207" t="s">
        <v>23</v>
      </c>
      <c r="F14" s="208"/>
      <c r="G14" s="206"/>
      <c r="H14" s="206"/>
      <c r="I14" s="208"/>
      <c r="J14" s="208"/>
      <c r="K14" s="216"/>
      <c r="L14" s="208"/>
      <c r="M14" s="217"/>
      <c r="N14" s="208"/>
      <c r="O14" s="218"/>
      <c r="P14" s="208"/>
      <c r="Q14" s="208"/>
      <c r="R14" s="239"/>
      <c r="S14" s="217"/>
      <c r="T14" s="216"/>
      <c r="U14" s="196"/>
    </row>
    <row r="15" spans="3:21" s="185" customFormat="1" ht="20.25" customHeight="1">
      <c r="C15" s="198">
        <f t="shared" si="0"/>
        <v>15</v>
      </c>
      <c r="D15" s="203">
        <f t="shared" si="1"/>
        <v>15</v>
      </c>
      <c r="E15" s="207" t="s">
        <v>24</v>
      </c>
      <c r="F15" s="208"/>
      <c r="G15" s="206"/>
      <c r="H15" s="206"/>
      <c r="I15" s="208"/>
      <c r="J15" s="208"/>
      <c r="K15" s="216"/>
      <c r="L15" s="208"/>
      <c r="M15" s="217"/>
      <c r="N15" s="208"/>
      <c r="O15" s="218"/>
      <c r="P15" s="208"/>
      <c r="Q15" s="208"/>
      <c r="R15" s="239"/>
      <c r="S15" s="217"/>
      <c r="T15" s="216"/>
      <c r="U15" s="196"/>
    </row>
    <row r="16" spans="3:21" s="185" customFormat="1" ht="20.25" customHeight="1">
      <c r="C16" s="198">
        <f t="shared" si="0"/>
        <v>16</v>
      </c>
      <c r="D16" s="203">
        <f t="shared" si="1"/>
        <v>16</v>
      </c>
      <c r="E16" s="207" t="s">
        <v>25</v>
      </c>
      <c r="F16" s="208"/>
      <c r="G16" s="206"/>
      <c r="H16" s="206"/>
      <c r="I16" s="208"/>
      <c r="J16" s="208"/>
      <c r="K16" s="216"/>
      <c r="L16" s="208"/>
      <c r="M16" s="217"/>
      <c r="N16" s="208"/>
      <c r="O16" s="218"/>
      <c r="P16" s="208"/>
      <c r="Q16" s="208"/>
      <c r="R16" s="239"/>
      <c r="S16" s="217"/>
      <c r="T16" s="216"/>
      <c r="U16" s="196"/>
    </row>
    <row r="17" spans="3:21" s="185" customFormat="1" ht="20.25" customHeight="1">
      <c r="C17" s="198">
        <f t="shared" si="0"/>
        <v>17</v>
      </c>
      <c r="D17" s="203">
        <f t="shared" si="1"/>
        <v>17</v>
      </c>
      <c r="E17" s="207" t="s">
        <v>26</v>
      </c>
      <c r="F17" s="208"/>
      <c r="G17" s="206"/>
      <c r="H17" s="206"/>
      <c r="I17" s="208"/>
      <c r="J17" s="208"/>
      <c r="K17" s="216"/>
      <c r="L17" s="208"/>
      <c r="M17" s="217"/>
      <c r="N17" s="208"/>
      <c r="O17" s="218"/>
      <c r="P17" s="208"/>
      <c r="Q17" s="208"/>
      <c r="R17" s="239"/>
      <c r="S17" s="217"/>
      <c r="T17" s="216"/>
      <c r="U17" s="196"/>
    </row>
    <row r="18" spans="3:21" s="185" customFormat="1" ht="20.25" customHeight="1">
      <c r="C18" s="198">
        <f t="shared" si="0"/>
        <v>18</v>
      </c>
      <c r="D18" s="203">
        <f t="shared" si="1"/>
        <v>18</v>
      </c>
      <c r="E18" s="207" t="s">
        <v>27</v>
      </c>
      <c r="F18" s="208"/>
      <c r="G18" s="206"/>
      <c r="H18" s="206"/>
      <c r="I18" s="208"/>
      <c r="J18" s="208"/>
      <c r="K18" s="216"/>
      <c r="L18" s="208"/>
      <c r="M18" s="217"/>
      <c r="N18" s="208"/>
      <c r="O18" s="218"/>
      <c r="P18" s="208"/>
      <c r="Q18" s="208"/>
      <c r="R18" s="239"/>
      <c r="S18" s="217"/>
      <c r="T18" s="216"/>
      <c r="U18" s="196"/>
    </row>
    <row r="19" spans="3:21" s="185" customFormat="1" ht="20.25" customHeight="1">
      <c r="C19" s="198">
        <f t="shared" si="0"/>
        <v>19</v>
      </c>
      <c r="D19" s="203">
        <f t="shared" si="1"/>
        <v>19</v>
      </c>
      <c r="E19" s="207" t="s">
        <v>28</v>
      </c>
      <c r="F19" s="208"/>
      <c r="G19" s="206"/>
      <c r="H19" s="206"/>
      <c r="I19" s="208"/>
      <c r="J19" s="208"/>
      <c r="K19" s="216"/>
      <c r="L19" s="208"/>
      <c r="M19" s="217"/>
      <c r="N19" s="208"/>
      <c r="O19" s="218"/>
      <c r="P19" s="208"/>
      <c r="Q19" s="208"/>
      <c r="R19" s="239"/>
      <c r="S19" s="217"/>
      <c r="T19" s="216"/>
      <c r="U19" s="196"/>
    </row>
    <row r="20" spans="3:21" s="185" customFormat="1" ht="20.25" customHeight="1">
      <c r="C20" s="198">
        <f t="shared" si="0"/>
        <v>20</v>
      </c>
      <c r="D20" s="203">
        <f t="shared" si="1"/>
        <v>20</v>
      </c>
      <c r="E20" s="207" t="s">
        <v>29</v>
      </c>
      <c r="F20" s="208"/>
      <c r="G20" s="206"/>
      <c r="H20" s="206"/>
      <c r="I20" s="208"/>
      <c r="J20" s="208"/>
      <c r="K20" s="216"/>
      <c r="L20" s="208"/>
      <c r="M20" s="217"/>
      <c r="N20" s="208"/>
      <c r="O20" s="218"/>
      <c r="P20" s="208"/>
      <c r="Q20" s="208"/>
      <c r="R20" s="239"/>
      <c r="S20" s="217"/>
      <c r="T20" s="216"/>
      <c r="U20" s="196"/>
    </row>
    <row r="21" spans="3:21" s="185" customFormat="1" ht="20.25" customHeight="1">
      <c r="C21" s="198">
        <f t="shared" si="0"/>
        <v>21</v>
      </c>
      <c r="D21" s="203">
        <f t="shared" si="1"/>
        <v>21</v>
      </c>
      <c r="E21" s="207" t="s">
        <v>30</v>
      </c>
      <c r="F21" s="208"/>
      <c r="G21" s="206"/>
      <c r="H21" s="206"/>
      <c r="I21" s="208"/>
      <c r="J21" s="208"/>
      <c r="K21" s="216"/>
      <c r="L21" s="208"/>
      <c r="M21" s="217"/>
      <c r="N21" s="208"/>
      <c r="O21" s="218"/>
      <c r="P21" s="208"/>
      <c r="Q21" s="208"/>
      <c r="R21" s="239"/>
      <c r="S21" s="217"/>
      <c r="T21" s="216"/>
      <c r="U21" s="196"/>
    </row>
    <row r="22" spans="3:21" s="185" customFormat="1" ht="20.25" customHeight="1">
      <c r="C22" s="198">
        <f t="shared" si="0"/>
        <v>22</v>
      </c>
      <c r="D22" s="203">
        <f t="shared" si="1"/>
        <v>22</v>
      </c>
      <c r="E22" s="207" t="s">
        <v>31</v>
      </c>
      <c r="F22" s="208"/>
      <c r="G22" s="206"/>
      <c r="H22" s="206"/>
      <c r="I22" s="208"/>
      <c r="J22" s="208"/>
      <c r="K22" s="216"/>
      <c r="L22" s="208"/>
      <c r="M22" s="217"/>
      <c r="N22" s="208"/>
      <c r="O22" s="218"/>
      <c r="P22" s="208"/>
      <c r="Q22" s="208"/>
      <c r="R22" s="239"/>
      <c r="S22" s="217"/>
      <c r="T22" s="216"/>
      <c r="U22" s="196"/>
    </row>
    <row r="23" spans="3:21" s="185" customFormat="1" ht="20.25" customHeight="1">
      <c r="C23" s="198">
        <f t="shared" si="0"/>
        <v>23</v>
      </c>
      <c r="D23" s="203">
        <f t="shared" si="1"/>
        <v>23</v>
      </c>
      <c r="E23" s="207" t="s">
        <v>32</v>
      </c>
      <c r="F23" s="208"/>
      <c r="G23" s="206"/>
      <c r="H23" s="206"/>
      <c r="I23" s="208"/>
      <c r="J23" s="208"/>
      <c r="K23" s="216"/>
      <c r="L23" s="208"/>
      <c r="M23" s="217"/>
      <c r="N23" s="208"/>
      <c r="O23" s="218"/>
      <c r="P23" s="208"/>
      <c r="Q23" s="208"/>
      <c r="R23" s="239"/>
      <c r="S23" s="217"/>
      <c r="T23" s="216"/>
      <c r="U23" s="196"/>
    </row>
    <row r="24" spans="3:21" s="185" customFormat="1" ht="20.25" customHeight="1">
      <c r="C24" s="198">
        <f t="shared" si="0"/>
        <v>24</v>
      </c>
      <c r="D24" s="203">
        <f t="shared" si="1"/>
        <v>24</v>
      </c>
      <c r="E24" s="207" t="s">
        <v>33</v>
      </c>
      <c r="F24" s="208"/>
      <c r="G24" s="206"/>
      <c r="H24" s="206"/>
      <c r="I24" s="208"/>
      <c r="J24" s="208"/>
      <c r="K24" s="216"/>
      <c r="L24" s="208"/>
      <c r="M24" s="217"/>
      <c r="N24" s="208"/>
      <c r="O24" s="218"/>
      <c r="P24" s="208"/>
      <c r="Q24" s="208"/>
      <c r="R24" s="239"/>
      <c r="S24" s="217"/>
      <c r="T24" s="216"/>
      <c r="U24" s="196"/>
    </row>
    <row r="25" spans="3:21" s="185" customFormat="1" ht="20.25" customHeight="1">
      <c r="C25" s="198">
        <f t="shared" si="0"/>
        <v>25</v>
      </c>
      <c r="D25" s="203">
        <f t="shared" si="1"/>
        <v>25</v>
      </c>
      <c r="E25" s="207" t="s">
        <v>34</v>
      </c>
      <c r="F25" s="208"/>
      <c r="G25" s="206"/>
      <c r="H25" s="206"/>
      <c r="I25" s="208"/>
      <c r="J25" s="208"/>
      <c r="K25" s="216"/>
      <c r="L25" s="208"/>
      <c r="M25" s="217"/>
      <c r="N25" s="208"/>
      <c r="O25" s="218"/>
      <c r="P25" s="208"/>
      <c r="Q25" s="208"/>
      <c r="R25" s="239"/>
      <c r="S25" s="217"/>
      <c r="T25" s="216"/>
      <c r="U25" s="196"/>
    </row>
    <row r="26" spans="3:21" s="185" customFormat="1" ht="20.25" customHeight="1">
      <c r="C26" s="198">
        <f t="shared" si="0"/>
        <v>26</v>
      </c>
      <c r="D26" s="203">
        <f t="shared" si="1"/>
        <v>26</v>
      </c>
      <c r="E26" s="209" t="s">
        <v>35</v>
      </c>
      <c r="F26" s="210">
        <f>D9</f>
        <v>9</v>
      </c>
      <c r="G26" s="206"/>
      <c r="H26" s="206"/>
      <c r="I26" s="208"/>
      <c r="J26" s="208"/>
      <c r="K26" s="216"/>
      <c r="L26" s="208"/>
      <c r="M26" s="217"/>
      <c r="N26" s="208"/>
      <c r="O26" s="218"/>
      <c r="P26" s="208"/>
      <c r="Q26" s="208"/>
      <c r="R26" s="239"/>
      <c r="S26" s="217"/>
      <c r="T26" s="216"/>
      <c r="U26" s="196"/>
    </row>
    <row r="27" spans="3:21" s="185" customFormat="1" ht="20.25" customHeight="1">
      <c r="C27" s="198"/>
      <c r="D27" s="203">
        <f t="shared" si="1"/>
        <v>27</v>
      </c>
      <c r="E27" s="207" t="s">
        <v>36</v>
      </c>
      <c r="F27" s="208"/>
      <c r="G27" s="206" t="s">
        <v>37</v>
      </c>
      <c r="H27" s="206"/>
      <c r="I27" s="219">
        <v>24</v>
      </c>
      <c r="J27" s="220" t="s">
        <v>38</v>
      </c>
      <c r="K27" s="221">
        <v>1</v>
      </c>
      <c r="L27" s="220" t="s">
        <v>39</v>
      </c>
      <c r="M27" s="222">
        <v>1</v>
      </c>
      <c r="N27" s="220" t="s">
        <v>40</v>
      </c>
      <c r="O27" s="223">
        <v>4</v>
      </c>
      <c r="P27" s="220" t="s">
        <v>41</v>
      </c>
      <c r="Q27" s="240">
        <f>M27*O27</f>
        <v>4</v>
      </c>
      <c r="R27" s="241"/>
      <c r="S27" s="240">
        <f t="shared" ref="S27:S28" si="2">ROUND(Q27+R27,2)</f>
        <v>4</v>
      </c>
      <c r="T27" s="216" t="s">
        <v>42</v>
      </c>
      <c r="U27" s="196" t="str">
        <f>CONCATENATE(S27," ",T27)</f>
        <v>4 Days</v>
      </c>
    </row>
    <row r="28" spans="3:21" s="185" customFormat="1" ht="20.25" customHeight="1">
      <c r="C28" s="198"/>
      <c r="D28" s="203">
        <f t="shared" si="1"/>
        <v>28</v>
      </c>
      <c r="E28" s="207" t="s">
        <v>43</v>
      </c>
      <c r="F28" s="211">
        <f t="shared" ref="F28:F41" si="3">D27</f>
        <v>27</v>
      </c>
      <c r="G28" s="206" t="s">
        <v>44</v>
      </c>
      <c r="H28" s="206"/>
      <c r="I28" s="224">
        <v>24</v>
      </c>
      <c r="J28" s="225" t="s">
        <v>45</v>
      </c>
      <c r="K28" s="226">
        <v>1</v>
      </c>
      <c r="L28" s="208" t="s">
        <v>39</v>
      </c>
      <c r="M28" s="227">
        <f>LEFT(J28,SEARCH(" ",J28,1)-1)*K28*0.001</f>
        <v>6.7229999999999999</v>
      </c>
      <c r="N28" s="228" t="s">
        <v>46</v>
      </c>
      <c r="O28" s="229">
        <f>VLOOKUP(I28,BM!$A$2:$X$104,2,FALSE)</f>
        <v>0.1</v>
      </c>
      <c r="P28" s="230" t="s">
        <v>47</v>
      </c>
      <c r="Q28" s="240">
        <f t="shared" ref="Q28:Q91" si="4">M28*O28</f>
        <v>0.67230000000000001</v>
      </c>
      <c r="R28" s="242">
        <v>1</v>
      </c>
      <c r="S28" s="240">
        <f t="shared" si="2"/>
        <v>1.67</v>
      </c>
      <c r="T28" s="243" t="s">
        <v>48</v>
      </c>
      <c r="U28" s="196" t="str">
        <f t="shared" ref="U28:U91" si="5">CONCATENATE(S28," ",T28)</f>
        <v>1.67 Hrs</v>
      </c>
    </row>
    <row r="29" spans="3:21" s="185" customFormat="1" ht="20.25" customHeight="1">
      <c r="C29" s="198"/>
      <c r="D29" s="203">
        <f t="shared" si="1"/>
        <v>29</v>
      </c>
      <c r="E29" s="207" t="s">
        <v>49</v>
      </c>
      <c r="F29" s="211">
        <f t="shared" si="3"/>
        <v>28</v>
      </c>
      <c r="G29" s="206" t="s">
        <v>44</v>
      </c>
      <c r="H29" s="206"/>
      <c r="I29" s="224">
        <v>24</v>
      </c>
      <c r="J29" s="211"/>
      <c r="K29" s="231">
        <v>1</v>
      </c>
      <c r="L29" s="208" t="s">
        <v>50</v>
      </c>
      <c r="M29" s="227">
        <v>1</v>
      </c>
      <c r="N29" s="208" t="s">
        <v>39</v>
      </c>
      <c r="O29" s="229">
        <v>1</v>
      </c>
      <c r="P29" s="208" t="s">
        <v>41</v>
      </c>
      <c r="Q29" s="240">
        <v>1</v>
      </c>
      <c r="R29" s="239"/>
      <c r="S29" s="240">
        <f t="shared" ref="S29:S91" si="6">ROUND(Q29+R29,2)</f>
        <v>1</v>
      </c>
      <c r="T29" s="216" t="s">
        <v>42</v>
      </c>
      <c r="U29" s="196" t="str">
        <f t="shared" si="5"/>
        <v>1 Days</v>
      </c>
    </row>
    <row r="30" spans="3:21" s="185" customFormat="1" ht="20.25" customHeight="1">
      <c r="C30" s="198"/>
      <c r="D30" s="203">
        <f t="shared" si="1"/>
        <v>30</v>
      </c>
      <c r="E30" s="207" t="s">
        <v>51</v>
      </c>
      <c r="F30" s="211">
        <f t="shared" si="3"/>
        <v>29</v>
      </c>
      <c r="G30" s="206" t="s">
        <v>52</v>
      </c>
      <c r="H30" s="206"/>
      <c r="I30" s="224">
        <v>24</v>
      </c>
      <c r="J30" s="211" t="str">
        <f>J28</f>
        <v>6723 MM</v>
      </c>
      <c r="K30" s="231">
        <v>1</v>
      </c>
      <c r="L30" s="208" t="s">
        <v>50</v>
      </c>
      <c r="M30" s="227">
        <f>LEFT(J30,SEARCH(" ",J30,1)-1)*K30*0.001</f>
        <v>6.7229999999999999</v>
      </c>
      <c r="N30" s="208" t="s">
        <v>46</v>
      </c>
      <c r="O30" s="229">
        <f>VLOOKUP(I30,BM!$A$2:$X$104,3,FALSE)</f>
        <v>0.25</v>
      </c>
      <c r="P30" s="230" t="s">
        <v>53</v>
      </c>
      <c r="Q30" s="240">
        <f t="shared" si="4"/>
        <v>1.68075</v>
      </c>
      <c r="R30" s="242">
        <v>1</v>
      </c>
      <c r="S30" s="240">
        <f t="shared" si="6"/>
        <v>2.68</v>
      </c>
      <c r="T30" s="243" t="s">
        <v>48</v>
      </c>
      <c r="U30" s="196" t="str">
        <f t="shared" si="5"/>
        <v>2.68 Hrs</v>
      </c>
    </row>
    <row r="31" spans="3:21" s="185" customFormat="1" ht="20.25" customHeight="1">
      <c r="C31" s="198"/>
      <c r="D31" s="203">
        <f t="shared" si="1"/>
        <v>31</v>
      </c>
      <c r="E31" s="207" t="s">
        <v>54</v>
      </c>
      <c r="F31" s="211">
        <f t="shared" si="3"/>
        <v>30</v>
      </c>
      <c r="G31" s="206" t="s">
        <v>55</v>
      </c>
      <c r="H31" s="206"/>
      <c r="I31" s="224">
        <v>24</v>
      </c>
      <c r="J31" s="211" t="str">
        <f>J30</f>
        <v>6723 MM</v>
      </c>
      <c r="K31" s="231">
        <v>1</v>
      </c>
      <c r="L31" s="208" t="s">
        <v>50</v>
      </c>
      <c r="M31" s="227">
        <v>1</v>
      </c>
      <c r="N31" s="208" t="s">
        <v>39</v>
      </c>
      <c r="O31" s="232">
        <v>10</v>
      </c>
      <c r="P31" s="230" t="s">
        <v>41</v>
      </c>
      <c r="Q31" s="240">
        <f t="shared" si="4"/>
        <v>10</v>
      </c>
      <c r="R31" s="242"/>
      <c r="S31" s="240">
        <f t="shared" si="6"/>
        <v>10</v>
      </c>
      <c r="T31" s="216" t="s">
        <v>42</v>
      </c>
      <c r="U31" s="196" t="str">
        <f t="shared" si="5"/>
        <v>10 Days</v>
      </c>
    </row>
    <row r="32" spans="3:21" s="185" customFormat="1" ht="20.25" customHeight="1">
      <c r="C32" s="198"/>
      <c r="D32" s="203">
        <f t="shared" si="1"/>
        <v>32</v>
      </c>
      <c r="E32" s="207" t="s">
        <v>56</v>
      </c>
      <c r="F32" s="211">
        <f t="shared" si="3"/>
        <v>31</v>
      </c>
      <c r="G32" s="206" t="s">
        <v>44</v>
      </c>
      <c r="H32" s="206"/>
      <c r="I32" s="224">
        <v>24</v>
      </c>
      <c r="J32" s="211" t="str">
        <f t="shared" ref="J32:J38" si="7">J31</f>
        <v>6723 MM</v>
      </c>
      <c r="K32" s="231">
        <v>1</v>
      </c>
      <c r="L32" s="208" t="s">
        <v>50</v>
      </c>
      <c r="M32" s="217">
        <v>1</v>
      </c>
      <c r="N32" s="208" t="s">
        <v>39</v>
      </c>
      <c r="O32" s="232">
        <v>1</v>
      </c>
      <c r="P32" s="230" t="s">
        <v>41</v>
      </c>
      <c r="Q32" s="240">
        <f t="shared" si="4"/>
        <v>1</v>
      </c>
      <c r="R32" s="242"/>
      <c r="S32" s="240">
        <f t="shared" si="6"/>
        <v>1</v>
      </c>
      <c r="T32" s="216" t="s">
        <v>42</v>
      </c>
      <c r="U32" s="196" t="str">
        <f t="shared" si="5"/>
        <v>1 Days</v>
      </c>
    </row>
    <row r="33" spans="3:21" s="185" customFormat="1" ht="20.25" customHeight="1">
      <c r="C33" s="198"/>
      <c r="D33" s="203">
        <f t="shared" si="1"/>
        <v>33</v>
      </c>
      <c r="E33" s="207" t="s">
        <v>57</v>
      </c>
      <c r="F33" s="211">
        <f t="shared" si="3"/>
        <v>32</v>
      </c>
      <c r="G33" s="206" t="s">
        <v>55</v>
      </c>
      <c r="H33" s="206"/>
      <c r="I33" s="224">
        <v>24</v>
      </c>
      <c r="J33" s="211" t="str">
        <f t="shared" si="7"/>
        <v>6723 MM</v>
      </c>
      <c r="K33" s="231">
        <v>1</v>
      </c>
      <c r="L33" s="208" t="s">
        <v>50</v>
      </c>
      <c r="M33" s="217">
        <v>1</v>
      </c>
      <c r="N33" s="208" t="s">
        <v>39</v>
      </c>
      <c r="O33" s="232">
        <v>1</v>
      </c>
      <c r="P33" s="230" t="s">
        <v>41</v>
      </c>
      <c r="Q33" s="240">
        <f t="shared" si="4"/>
        <v>1</v>
      </c>
      <c r="R33" s="242"/>
      <c r="S33" s="240">
        <f t="shared" si="6"/>
        <v>1</v>
      </c>
      <c r="T33" s="216" t="s">
        <v>42</v>
      </c>
      <c r="U33" s="196" t="str">
        <f t="shared" si="5"/>
        <v>1 Days</v>
      </c>
    </row>
    <row r="34" spans="3:21" s="185" customFormat="1" ht="20.25" customHeight="1">
      <c r="C34" s="198"/>
      <c r="D34" s="203">
        <f t="shared" si="1"/>
        <v>34</v>
      </c>
      <c r="E34" s="207" t="s">
        <v>58</v>
      </c>
      <c r="F34" s="211">
        <f t="shared" si="3"/>
        <v>33</v>
      </c>
      <c r="G34" s="206" t="s">
        <v>55</v>
      </c>
      <c r="H34" s="206"/>
      <c r="I34" s="224">
        <v>24</v>
      </c>
      <c r="J34" s="211" t="str">
        <f t="shared" si="7"/>
        <v>6723 MM</v>
      </c>
      <c r="K34" s="231">
        <v>1</v>
      </c>
      <c r="L34" s="208" t="s">
        <v>50</v>
      </c>
      <c r="M34" s="217">
        <v>1</v>
      </c>
      <c r="N34" s="208" t="s">
        <v>39</v>
      </c>
      <c r="O34" s="232">
        <v>4</v>
      </c>
      <c r="P34" s="230" t="s">
        <v>41</v>
      </c>
      <c r="Q34" s="240">
        <f t="shared" si="4"/>
        <v>4</v>
      </c>
      <c r="R34" s="242"/>
      <c r="S34" s="240">
        <f t="shared" si="6"/>
        <v>4</v>
      </c>
      <c r="T34" s="216" t="s">
        <v>42</v>
      </c>
      <c r="U34" s="196" t="str">
        <f t="shared" si="5"/>
        <v>4 Days</v>
      </c>
    </row>
    <row r="35" spans="3:21" s="185" customFormat="1" ht="20.25" customHeight="1">
      <c r="C35" s="198"/>
      <c r="D35" s="203">
        <f t="shared" si="1"/>
        <v>35</v>
      </c>
      <c r="E35" s="207" t="s">
        <v>59</v>
      </c>
      <c r="F35" s="211">
        <f t="shared" si="3"/>
        <v>34</v>
      </c>
      <c r="G35" s="206" t="s">
        <v>44</v>
      </c>
      <c r="H35" s="206"/>
      <c r="I35" s="224">
        <v>24</v>
      </c>
      <c r="J35" s="211" t="str">
        <f t="shared" si="7"/>
        <v>6723 MM</v>
      </c>
      <c r="K35" s="231">
        <v>1</v>
      </c>
      <c r="L35" s="208" t="s">
        <v>50</v>
      </c>
      <c r="M35" s="217">
        <v>1</v>
      </c>
      <c r="N35" s="208" t="s">
        <v>39</v>
      </c>
      <c r="O35" s="232">
        <v>1</v>
      </c>
      <c r="P35" s="230" t="s">
        <v>41</v>
      </c>
      <c r="Q35" s="240">
        <f t="shared" si="4"/>
        <v>1</v>
      </c>
      <c r="R35" s="242"/>
      <c r="S35" s="240">
        <f t="shared" si="6"/>
        <v>1</v>
      </c>
      <c r="T35" s="216" t="s">
        <v>42</v>
      </c>
      <c r="U35" s="196" t="str">
        <f t="shared" si="5"/>
        <v>1 Days</v>
      </c>
    </row>
    <row r="36" spans="3:21" s="185" customFormat="1" ht="20.25" customHeight="1">
      <c r="C36" s="198"/>
      <c r="D36" s="203">
        <f t="shared" si="1"/>
        <v>36</v>
      </c>
      <c r="E36" s="207" t="s">
        <v>60</v>
      </c>
      <c r="F36" s="211">
        <f t="shared" si="3"/>
        <v>35</v>
      </c>
      <c r="G36" s="206" t="s">
        <v>61</v>
      </c>
      <c r="H36" s="206"/>
      <c r="I36" s="224">
        <v>24</v>
      </c>
      <c r="J36" s="211" t="str">
        <f t="shared" si="7"/>
        <v>6723 MM</v>
      </c>
      <c r="K36" s="231">
        <v>1</v>
      </c>
      <c r="L36" s="208" t="s">
        <v>50</v>
      </c>
      <c r="M36" s="217">
        <v>1</v>
      </c>
      <c r="N36" s="208" t="s">
        <v>39</v>
      </c>
      <c r="O36" s="232">
        <v>1</v>
      </c>
      <c r="P36" s="230" t="s">
        <v>41</v>
      </c>
      <c r="Q36" s="240">
        <f t="shared" si="4"/>
        <v>1</v>
      </c>
      <c r="R36" s="242">
        <v>1</v>
      </c>
      <c r="S36" s="240">
        <f t="shared" si="6"/>
        <v>2</v>
      </c>
      <c r="T36" s="216" t="s">
        <v>42</v>
      </c>
      <c r="U36" s="196" t="str">
        <f t="shared" si="5"/>
        <v>2 Days</v>
      </c>
    </row>
    <row r="37" spans="3:21" s="185" customFormat="1" ht="20.25" customHeight="1">
      <c r="C37" s="198"/>
      <c r="D37" s="203">
        <f t="shared" si="1"/>
        <v>37</v>
      </c>
      <c r="E37" s="207" t="s">
        <v>62</v>
      </c>
      <c r="F37" s="211">
        <f t="shared" si="3"/>
        <v>36</v>
      </c>
      <c r="G37" s="206" t="s">
        <v>63</v>
      </c>
      <c r="H37" s="206"/>
      <c r="I37" s="224">
        <v>24</v>
      </c>
      <c r="J37" s="211" t="str">
        <f t="shared" si="7"/>
        <v>6723 MM</v>
      </c>
      <c r="K37" s="231">
        <v>1</v>
      </c>
      <c r="L37" s="208" t="s">
        <v>50</v>
      </c>
      <c r="M37" s="217">
        <v>1</v>
      </c>
      <c r="N37" s="208" t="s">
        <v>39</v>
      </c>
      <c r="O37" s="232">
        <v>1</v>
      </c>
      <c r="P37" s="230" t="s">
        <v>41</v>
      </c>
      <c r="Q37" s="240">
        <f t="shared" si="4"/>
        <v>1</v>
      </c>
      <c r="R37" s="242"/>
      <c r="S37" s="240">
        <f t="shared" si="6"/>
        <v>1</v>
      </c>
      <c r="T37" s="216" t="s">
        <v>42</v>
      </c>
      <c r="U37" s="196" t="str">
        <f t="shared" si="5"/>
        <v>1 Days</v>
      </c>
    </row>
    <row r="38" spans="3:21" s="185" customFormat="1" ht="20.25" customHeight="1">
      <c r="C38" s="198"/>
      <c r="D38" s="203">
        <f t="shared" si="1"/>
        <v>38</v>
      </c>
      <c r="E38" s="207" t="s">
        <v>64</v>
      </c>
      <c r="F38" s="211">
        <f t="shared" si="3"/>
        <v>37</v>
      </c>
      <c r="G38" s="206" t="s">
        <v>63</v>
      </c>
      <c r="H38" s="206"/>
      <c r="I38" s="224">
        <v>24</v>
      </c>
      <c r="J38" s="211" t="str">
        <f t="shared" si="7"/>
        <v>6723 MM</v>
      </c>
      <c r="K38" s="231">
        <v>1</v>
      </c>
      <c r="L38" s="208" t="s">
        <v>50</v>
      </c>
      <c r="M38" s="217">
        <v>1</v>
      </c>
      <c r="N38" s="208" t="s">
        <v>39</v>
      </c>
      <c r="O38" s="232">
        <v>1</v>
      </c>
      <c r="P38" s="230" t="s">
        <v>41</v>
      </c>
      <c r="Q38" s="240">
        <f t="shared" si="4"/>
        <v>1</v>
      </c>
      <c r="R38" s="242"/>
      <c r="S38" s="240">
        <f t="shared" si="6"/>
        <v>1</v>
      </c>
      <c r="T38" s="216" t="s">
        <v>42</v>
      </c>
      <c r="U38" s="196" t="str">
        <f t="shared" si="5"/>
        <v>1 Days</v>
      </c>
    </row>
    <row r="39" spans="3:21" s="185" customFormat="1" ht="20.25" customHeight="1">
      <c r="C39" s="198"/>
      <c r="D39" s="203">
        <f t="shared" si="1"/>
        <v>39</v>
      </c>
      <c r="E39" s="207" t="s">
        <v>65</v>
      </c>
      <c r="F39" s="211">
        <f t="shared" si="3"/>
        <v>38</v>
      </c>
      <c r="G39" s="206" t="s">
        <v>44</v>
      </c>
      <c r="H39" s="206" t="s">
        <v>66</v>
      </c>
      <c r="I39" s="224">
        <v>24</v>
      </c>
      <c r="J39" s="252" t="s">
        <v>1239</v>
      </c>
      <c r="K39" s="231">
        <v>1</v>
      </c>
      <c r="L39" s="208" t="s">
        <v>50</v>
      </c>
      <c r="M39" s="227">
        <f>LEFT(J39,SEARCH(" ",J39,1)-1)*K39*0.001*3.142</f>
        <v>3.1419999999999999</v>
      </c>
      <c r="N39" s="208" t="s">
        <v>68</v>
      </c>
      <c r="O39" s="229">
        <f>VLOOKUP(I39,BM!$A$2:$X$104,2,FALSE)</f>
        <v>0.1</v>
      </c>
      <c r="P39" s="230" t="s">
        <v>53</v>
      </c>
      <c r="Q39" s="240">
        <f t="shared" si="4"/>
        <v>0.31420000000000003</v>
      </c>
      <c r="R39" s="242">
        <v>1</v>
      </c>
      <c r="S39" s="240">
        <f t="shared" si="6"/>
        <v>1.31</v>
      </c>
      <c r="T39" s="243" t="s">
        <v>48</v>
      </c>
      <c r="U39" s="196" t="str">
        <f t="shared" si="5"/>
        <v>1.31 Hrs</v>
      </c>
    </row>
    <row r="40" spans="3:21" s="185" customFormat="1" ht="20.25" customHeight="1">
      <c r="C40" s="198"/>
      <c r="D40" s="203">
        <f t="shared" si="1"/>
        <v>40</v>
      </c>
      <c r="E40" s="207" t="s">
        <v>69</v>
      </c>
      <c r="F40" s="211">
        <f t="shared" si="3"/>
        <v>39</v>
      </c>
      <c r="G40" s="206" t="s">
        <v>52</v>
      </c>
      <c r="H40" s="206"/>
      <c r="I40" s="224">
        <v>24</v>
      </c>
      <c r="J40" s="211" t="str">
        <f>J39</f>
        <v>1000 mm</v>
      </c>
      <c r="K40" s="231">
        <v>1</v>
      </c>
      <c r="L40" s="208" t="s">
        <v>50</v>
      </c>
      <c r="M40" s="227">
        <f>LEFT(J40,SEARCH(" ",J40,1)-1)*K40*0.001*3.142</f>
        <v>3.1419999999999999</v>
      </c>
      <c r="N40" s="208" t="s">
        <v>68</v>
      </c>
      <c r="O40" s="229">
        <f>VLOOKUP(I40,BM!$A$2:$X$104,15,FALSE)</f>
        <v>1</v>
      </c>
      <c r="P40" s="230" t="s">
        <v>53</v>
      </c>
      <c r="Q40" s="240">
        <f t="shared" si="4"/>
        <v>3.1419999999999999</v>
      </c>
      <c r="R40" s="242">
        <v>1</v>
      </c>
      <c r="S40" s="240">
        <f t="shared" si="6"/>
        <v>4.1399999999999997</v>
      </c>
      <c r="T40" s="243" t="s">
        <v>48</v>
      </c>
      <c r="U40" s="196" t="str">
        <f t="shared" si="5"/>
        <v>4.14 Hrs</v>
      </c>
    </row>
    <row r="41" spans="3:21" s="185" customFormat="1" ht="20.25" customHeight="1">
      <c r="C41" s="198"/>
      <c r="D41" s="203">
        <f t="shared" si="1"/>
        <v>41</v>
      </c>
      <c r="E41" s="207" t="s">
        <v>70</v>
      </c>
      <c r="F41" s="211">
        <f t="shared" si="3"/>
        <v>40</v>
      </c>
      <c r="G41" s="206" t="s">
        <v>61</v>
      </c>
      <c r="H41" s="206"/>
      <c r="I41" s="224">
        <v>24</v>
      </c>
      <c r="J41" s="211" t="str">
        <f>J40</f>
        <v>1000 mm</v>
      </c>
      <c r="K41" s="231">
        <v>1</v>
      </c>
      <c r="L41" s="208" t="s">
        <v>50</v>
      </c>
      <c r="M41" s="227">
        <f>LEFT(J41,SEARCH(" ",J41,1)-1)*K41*0.001*3.142</f>
        <v>3.1419999999999999</v>
      </c>
      <c r="N41" s="208" t="s">
        <v>68</v>
      </c>
      <c r="O41" s="229">
        <f>VLOOKUP(I41,BM!$A$2:$X$104,6,FALSE)</f>
        <v>1</v>
      </c>
      <c r="P41" s="230" t="s">
        <v>53</v>
      </c>
      <c r="Q41" s="240">
        <f t="shared" si="4"/>
        <v>3.1419999999999999</v>
      </c>
      <c r="R41" s="242"/>
      <c r="S41" s="240">
        <f t="shared" si="6"/>
        <v>3.14</v>
      </c>
      <c r="T41" s="243" t="s">
        <v>48</v>
      </c>
      <c r="U41" s="196" t="str">
        <f t="shared" si="5"/>
        <v>3.14 Hrs</v>
      </c>
    </row>
    <row r="42" spans="3:21" s="185" customFormat="1" ht="20.25" customHeight="1">
      <c r="C42" s="198">
        <f t="shared" ref="C42:C43" si="8">D42</f>
        <v>42</v>
      </c>
      <c r="D42" s="203">
        <f t="shared" si="1"/>
        <v>42</v>
      </c>
      <c r="E42" s="204" t="s">
        <v>71</v>
      </c>
      <c r="F42" s="205"/>
      <c r="G42" s="206"/>
      <c r="H42" s="206"/>
      <c r="I42" s="208"/>
      <c r="J42" s="208"/>
      <c r="K42" s="231"/>
      <c r="L42" s="208"/>
      <c r="M42" s="217"/>
      <c r="N42" s="208"/>
      <c r="O42" s="232"/>
      <c r="P42" s="230"/>
      <c r="Q42" s="240"/>
      <c r="R42" s="242"/>
      <c r="S42" s="240"/>
      <c r="T42" s="243"/>
      <c r="U42" s="196"/>
    </row>
    <row r="43" spans="3:21" s="185" customFormat="1" ht="20.25" customHeight="1">
      <c r="C43" s="198">
        <f t="shared" si="8"/>
        <v>43</v>
      </c>
      <c r="D43" s="203">
        <f t="shared" si="1"/>
        <v>43</v>
      </c>
      <c r="E43" s="209" t="s">
        <v>72</v>
      </c>
      <c r="F43" s="210">
        <f>D10</f>
        <v>10</v>
      </c>
      <c r="G43" s="206"/>
      <c r="H43" s="206"/>
      <c r="I43" s="208"/>
      <c r="J43" s="208"/>
      <c r="K43" s="231"/>
      <c r="L43" s="208"/>
      <c r="M43" s="217"/>
      <c r="N43" s="208"/>
      <c r="O43" s="232"/>
      <c r="P43" s="230"/>
      <c r="Q43" s="240"/>
      <c r="R43" s="242"/>
      <c r="S43" s="240"/>
      <c r="T43" s="243"/>
      <c r="U43" s="196"/>
    </row>
    <row r="44" spans="3:21" s="185" customFormat="1" ht="20.25" customHeight="1">
      <c r="C44" s="198"/>
      <c r="D44" s="203">
        <f t="shared" si="1"/>
        <v>44</v>
      </c>
      <c r="E44" s="207" t="s">
        <v>73</v>
      </c>
      <c r="F44" s="208"/>
      <c r="G44" s="206"/>
      <c r="H44" s="206" t="s">
        <v>66</v>
      </c>
      <c r="I44" s="224" t="s">
        <v>74</v>
      </c>
      <c r="J44" s="208" t="str">
        <f>J41</f>
        <v>1000 mm</v>
      </c>
      <c r="K44" s="231">
        <v>1</v>
      </c>
      <c r="L44" s="208" t="s">
        <v>39</v>
      </c>
      <c r="M44" s="217">
        <v>1</v>
      </c>
      <c r="N44" s="208" t="s">
        <v>50</v>
      </c>
      <c r="O44" s="232">
        <v>2</v>
      </c>
      <c r="P44" s="230" t="s">
        <v>41</v>
      </c>
      <c r="Q44" s="240">
        <f t="shared" si="4"/>
        <v>2</v>
      </c>
      <c r="R44" s="242"/>
      <c r="S44" s="240">
        <f t="shared" si="6"/>
        <v>2</v>
      </c>
      <c r="T44" s="216" t="s">
        <v>42</v>
      </c>
      <c r="U44" s="196" t="str">
        <f t="shared" si="5"/>
        <v>2 Days</v>
      </c>
    </row>
    <row r="45" spans="3:21" s="185" customFormat="1" ht="20.25" customHeight="1">
      <c r="C45" s="198"/>
      <c r="D45" s="203">
        <f t="shared" si="1"/>
        <v>45</v>
      </c>
      <c r="E45" s="207" t="s">
        <v>75</v>
      </c>
      <c r="F45" s="211">
        <f>D44</f>
        <v>44</v>
      </c>
      <c r="G45" s="206" t="s">
        <v>55</v>
      </c>
      <c r="H45" s="206"/>
      <c r="I45" s="233" t="str">
        <f>I44</f>
        <v>145 t</v>
      </c>
      <c r="J45" s="208" t="str">
        <f>J44</f>
        <v>1000 mm</v>
      </c>
      <c r="K45" s="231">
        <v>1</v>
      </c>
      <c r="L45" s="208" t="s">
        <v>39</v>
      </c>
      <c r="M45" s="217">
        <v>1</v>
      </c>
      <c r="N45" s="208" t="s">
        <v>50</v>
      </c>
      <c r="O45" s="232">
        <v>5</v>
      </c>
      <c r="P45" s="230" t="s">
        <v>41</v>
      </c>
      <c r="Q45" s="240">
        <f t="shared" si="4"/>
        <v>5</v>
      </c>
      <c r="R45" s="242"/>
      <c r="S45" s="240">
        <f t="shared" si="6"/>
        <v>5</v>
      </c>
      <c r="T45" s="216" t="s">
        <v>42</v>
      </c>
      <c r="U45" s="196" t="str">
        <f t="shared" si="5"/>
        <v>5 Days</v>
      </c>
    </row>
    <row r="46" spans="3:21" s="185" customFormat="1" ht="20.25" customHeight="1">
      <c r="C46" s="198">
        <f>D46</f>
        <v>46</v>
      </c>
      <c r="D46" s="203">
        <f t="shared" si="1"/>
        <v>46</v>
      </c>
      <c r="E46" s="209" t="s">
        <v>76</v>
      </c>
      <c r="F46" s="210">
        <f>D43</f>
        <v>43</v>
      </c>
      <c r="G46" s="206"/>
      <c r="H46" s="206"/>
      <c r="I46" s="208"/>
      <c r="J46" s="208"/>
      <c r="K46" s="231"/>
      <c r="L46" s="208"/>
      <c r="M46" s="217"/>
      <c r="N46" s="208"/>
      <c r="O46" s="232"/>
      <c r="P46" s="230"/>
      <c r="Q46" s="240"/>
      <c r="R46" s="242"/>
      <c r="S46" s="240"/>
      <c r="T46" s="243"/>
      <c r="U46" s="196"/>
    </row>
    <row r="47" spans="3:21" s="185" customFormat="1" ht="20.25" customHeight="1">
      <c r="C47" s="198"/>
      <c r="D47" s="203">
        <f t="shared" si="1"/>
        <v>47</v>
      </c>
      <c r="E47" s="207" t="s">
        <v>77</v>
      </c>
      <c r="F47" s="211"/>
      <c r="G47" s="206" t="s">
        <v>55</v>
      </c>
      <c r="H47" s="206"/>
      <c r="I47" s="224" t="str">
        <f>I44</f>
        <v>145 t</v>
      </c>
      <c r="J47" s="234" t="s">
        <v>78</v>
      </c>
      <c r="K47" s="231">
        <v>1</v>
      </c>
      <c r="L47" s="208" t="s">
        <v>39</v>
      </c>
      <c r="M47" s="227">
        <f>LEFT(J47,SEARCH(" ",J47,1)-1)*LEFT(I47,SEARCH(" ",I47,1)-1)*K47/1000</f>
        <v>189.66</v>
      </c>
      <c r="N47" s="208" t="s">
        <v>79</v>
      </c>
      <c r="O47" s="229">
        <f>1/1.5^1</f>
        <v>0.66666666666666663</v>
      </c>
      <c r="P47" s="230" t="s">
        <v>47</v>
      </c>
      <c r="Q47" s="240">
        <f>M47*O47/24</f>
        <v>5.2683333333333335</v>
      </c>
      <c r="R47" s="242"/>
      <c r="S47" s="240">
        <f t="shared" si="6"/>
        <v>5.27</v>
      </c>
      <c r="T47" s="216" t="s">
        <v>42</v>
      </c>
      <c r="U47" s="196" t="str">
        <f t="shared" si="5"/>
        <v>5.27 Days</v>
      </c>
    </row>
    <row r="48" spans="3:21" s="185" customFormat="1" ht="20.25" customHeight="1">
      <c r="C48" s="198"/>
      <c r="D48" s="203">
        <f t="shared" si="1"/>
        <v>48</v>
      </c>
      <c r="E48" s="207" t="s">
        <v>80</v>
      </c>
      <c r="F48" s="211">
        <f t="shared" ref="F48:F52" si="9">D47</f>
        <v>47</v>
      </c>
      <c r="G48" s="206" t="s">
        <v>55</v>
      </c>
      <c r="H48" s="206"/>
      <c r="I48" s="224" t="str">
        <f>I44</f>
        <v>145 t</v>
      </c>
      <c r="J48" s="208" t="str">
        <f>J47</f>
        <v>1308 holes</v>
      </c>
      <c r="K48" s="231">
        <v>1</v>
      </c>
      <c r="L48" s="208" t="s">
        <v>40</v>
      </c>
      <c r="M48" s="227" t="str">
        <f>LEFT(J48,SEARCH(" ",J48,1)-1)</f>
        <v>1308</v>
      </c>
      <c r="N48" s="208" t="s">
        <v>81</v>
      </c>
      <c r="O48" s="229">
        <f>1/60*5</f>
        <v>8.3333333333333329E-2</v>
      </c>
      <c r="P48" s="230" t="s">
        <v>47</v>
      </c>
      <c r="Q48" s="240">
        <f>M48*O48/24</f>
        <v>4.541666666666667</v>
      </c>
      <c r="R48" s="242"/>
      <c r="S48" s="240">
        <f t="shared" si="6"/>
        <v>4.54</v>
      </c>
      <c r="T48" s="216" t="s">
        <v>42</v>
      </c>
      <c r="U48" s="196" t="str">
        <f t="shared" si="5"/>
        <v>4.54 Days</v>
      </c>
    </row>
    <row r="49" spans="3:21" s="185" customFormat="1" ht="20.25" customHeight="1">
      <c r="C49" s="198"/>
      <c r="D49" s="203">
        <f t="shared" si="1"/>
        <v>49</v>
      </c>
      <c r="E49" s="207" t="s">
        <v>82</v>
      </c>
      <c r="F49" s="211">
        <f t="shared" si="9"/>
        <v>48</v>
      </c>
      <c r="G49" s="206" t="s">
        <v>55</v>
      </c>
      <c r="H49" s="206"/>
      <c r="I49" s="224" t="str">
        <f>I44</f>
        <v>145 t</v>
      </c>
      <c r="J49" s="208"/>
      <c r="K49" s="231">
        <v>1</v>
      </c>
      <c r="L49" s="208" t="s">
        <v>83</v>
      </c>
      <c r="M49" s="235">
        <v>1</v>
      </c>
      <c r="N49" s="208" t="s">
        <v>84</v>
      </c>
      <c r="O49" s="229">
        <v>1</v>
      </c>
      <c r="P49" s="230" t="s">
        <v>41</v>
      </c>
      <c r="Q49" s="240">
        <f>M49*O49</f>
        <v>1</v>
      </c>
      <c r="R49" s="242"/>
      <c r="S49" s="240">
        <f t="shared" si="6"/>
        <v>1</v>
      </c>
      <c r="T49" s="216" t="s">
        <v>42</v>
      </c>
      <c r="U49" s="196" t="str">
        <f t="shared" si="5"/>
        <v>1 Days</v>
      </c>
    </row>
    <row r="50" spans="3:21" s="185" customFormat="1" ht="20.25" customHeight="1">
      <c r="C50" s="198"/>
      <c r="D50" s="203">
        <f t="shared" si="1"/>
        <v>50</v>
      </c>
      <c r="E50" s="207" t="s">
        <v>85</v>
      </c>
      <c r="F50" s="211">
        <f t="shared" si="9"/>
        <v>49</v>
      </c>
      <c r="G50" s="206" t="s">
        <v>55</v>
      </c>
      <c r="H50" s="206"/>
      <c r="I50" s="224" t="str">
        <f>I44</f>
        <v>145 t</v>
      </c>
      <c r="J50" s="208"/>
      <c r="K50" s="231">
        <v>1</v>
      </c>
      <c r="L50" s="208" t="s">
        <v>83</v>
      </c>
      <c r="M50" s="217">
        <v>1</v>
      </c>
      <c r="N50" s="208" t="s">
        <v>84</v>
      </c>
      <c r="O50" s="232">
        <v>4</v>
      </c>
      <c r="P50" s="230" t="s">
        <v>41</v>
      </c>
      <c r="Q50" s="240">
        <f t="shared" si="4"/>
        <v>4</v>
      </c>
      <c r="R50" s="242"/>
      <c r="S50" s="240">
        <f t="shared" si="6"/>
        <v>4</v>
      </c>
      <c r="T50" s="216" t="s">
        <v>42</v>
      </c>
      <c r="U50" s="196" t="str">
        <f t="shared" si="5"/>
        <v>4 Days</v>
      </c>
    </row>
    <row r="51" spans="3:21" s="185" customFormat="1" ht="20.25" customHeight="1">
      <c r="C51" s="198"/>
      <c r="D51" s="203">
        <f t="shared" si="1"/>
        <v>51</v>
      </c>
      <c r="E51" s="207" t="s">
        <v>86</v>
      </c>
      <c r="F51" s="211">
        <f t="shared" si="9"/>
        <v>50</v>
      </c>
      <c r="G51" s="206" t="s">
        <v>44</v>
      </c>
      <c r="H51" s="206"/>
      <c r="I51" s="224" t="str">
        <f>I44</f>
        <v>145 t</v>
      </c>
      <c r="J51" s="208" t="str">
        <f>J48</f>
        <v>1308 holes</v>
      </c>
      <c r="K51" s="231">
        <v>1</v>
      </c>
      <c r="L51" s="208" t="s">
        <v>40</v>
      </c>
      <c r="M51" s="227" t="str">
        <f>LEFT(J51,SEARCH(" ",J51,1)-1)</f>
        <v>1308</v>
      </c>
      <c r="N51" s="208" t="s">
        <v>40</v>
      </c>
      <c r="O51" s="229">
        <f>1/60*3</f>
        <v>0.05</v>
      </c>
      <c r="P51" s="230" t="s">
        <v>87</v>
      </c>
      <c r="Q51" s="240">
        <f t="shared" si="4"/>
        <v>65.400000000000006</v>
      </c>
      <c r="R51" s="242"/>
      <c r="S51" s="240">
        <f t="shared" si="6"/>
        <v>65.400000000000006</v>
      </c>
      <c r="T51" s="243" t="s">
        <v>48</v>
      </c>
      <c r="U51" s="196" t="str">
        <f t="shared" si="5"/>
        <v>65.4 Hrs</v>
      </c>
    </row>
    <row r="52" spans="3:21" s="185" customFormat="1" ht="20.25" customHeight="1">
      <c r="C52" s="198"/>
      <c r="D52" s="203">
        <f t="shared" si="1"/>
        <v>52</v>
      </c>
      <c r="E52" s="207" t="s">
        <v>88</v>
      </c>
      <c r="F52" s="211">
        <f t="shared" si="9"/>
        <v>51</v>
      </c>
      <c r="G52" s="206" t="s">
        <v>44</v>
      </c>
      <c r="H52" s="206"/>
      <c r="I52" s="208"/>
      <c r="J52" s="208"/>
      <c r="K52" s="231"/>
      <c r="L52" s="208"/>
      <c r="M52" s="217"/>
      <c r="N52" s="208"/>
      <c r="O52" s="232"/>
      <c r="P52" s="230"/>
      <c r="Q52" s="240"/>
      <c r="R52" s="242"/>
      <c r="S52" s="240"/>
      <c r="T52" s="243"/>
      <c r="U52" s="196"/>
    </row>
    <row r="53" spans="3:21" s="185" customFormat="1" ht="20.25" customHeight="1">
      <c r="C53" s="198">
        <f>D53</f>
        <v>53</v>
      </c>
      <c r="D53" s="203">
        <f t="shared" si="1"/>
        <v>53</v>
      </c>
      <c r="E53" s="209" t="s">
        <v>89</v>
      </c>
      <c r="F53" s="210">
        <f>D10</f>
        <v>10</v>
      </c>
      <c r="G53" s="206"/>
      <c r="H53" s="206"/>
      <c r="I53" s="208"/>
      <c r="J53" s="208"/>
      <c r="K53" s="231"/>
      <c r="L53" s="208"/>
      <c r="M53" s="217"/>
      <c r="N53" s="208"/>
      <c r="O53" s="232"/>
      <c r="P53" s="230"/>
      <c r="Q53" s="240"/>
      <c r="R53" s="242"/>
      <c r="S53" s="240"/>
      <c r="T53" s="243"/>
      <c r="U53" s="196"/>
    </row>
    <row r="54" spans="3:21" s="185" customFormat="1" ht="20.25" customHeight="1">
      <c r="C54" s="198"/>
      <c r="D54" s="203">
        <f t="shared" si="1"/>
        <v>54</v>
      </c>
      <c r="E54" s="207" t="s">
        <v>73</v>
      </c>
      <c r="F54" s="211"/>
      <c r="G54" s="206"/>
      <c r="H54" s="206"/>
      <c r="I54" s="224" t="s">
        <v>74</v>
      </c>
      <c r="J54" s="234" t="s">
        <v>90</v>
      </c>
      <c r="K54" s="231">
        <v>1</v>
      </c>
      <c r="L54" s="208" t="s">
        <v>39</v>
      </c>
      <c r="M54" s="217">
        <v>1</v>
      </c>
      <c r="N54" s="208" t="s">
        <v>50</v>
      </c>
      <c r="O54" s="232">
        <v>2</v>
      </c>
      <c r="P54" s="230" t="s">
        <v>41</v>
      </c>
      <c r="Q54" s="240">
        <f t="shared" ref="Q54:Q55" si="10">M54*O54</f>
        <v>2</v>
      </c>
      <c r="R54" s="242"/>
      <c r="S54" s="240">
        <f t="shared" si="6"/>
        <v>2</v>
      </c>
      <c r="T54" s="216" t="s">
        <v>42</v>
      </c>
      <c r="U54" s="196" t="str">
        <f t="shared" si="5"/>
        <v>2 Days</v>
      </c>
    </row>
    <row r="55" spans="3:21" s="185" customFormat="1" ht="20.25" customHeight="1">
      <c r="C55" s="198"/>
      <c r="D55" s="203">
        <f t="shared" si="1"/>
        <v>55</v>
      </c>
      <c r="E55" s="207" t="s">
        <v>91</v>
      </c>
      <c r="F55" s="211">
        <f>D54</f>
        <v>54</v>
      </c>
      <c r="G55" s="206" t="s">
        <v>55</v>
      </c>
      <c r="H55" s="206"/>
      <c r="I55" s="233" t="str">
        <f>I54</f>
        <v>145 t</v>
      </c>
      <c r="J55" s="234" t="s">
        <v>92</v>
      </c>
      <c r="K55" s="231">
        <v>1</v>
      </c>
      <c r="L55" s="208" t="s">
        <v>39</v>
      </c>
      <c r="M55" s="217">
        <v>1</v>
      </c>
      <c r="N55" s="208" t="s">
        <v>50</v>
      </c>
      <c r="O55" s="232">
        <v>5</v>
      </c>
      <c r="P55" s="230" t="s">
        <v>41</v>
      </c>
      <c r="Q55" s="240">
        <f t="shared" si="10"/>
        <v>5</v>
      </c>
      <c r="R55" s="242"/>
      <c r="S55" s="240">
        <f t="shared" si="6"/>
        <v>5</v>
      </c>
      <c r="T55" s="216" t="s">
        <v>42</v>
      </c>
      <c r="U55" s="196" t="str">
        <f t="shared" si="5"/>
        <v>5 Days</v>
      </c>
    </row>
    <row r="56" spans="3:21" s="185" customFormat="1" ht="20.25" customHeight="1">
      <c r="C56" s="198">
        <f>D56</f>
        <v>56</v>
      </c>
      <c r="D56" s="203">
        <f t="shared" si="1"/>
        <v>56</v>
      </c>
      <c r="E56" s="209" t="s">
        <v>93</v>
      </c>
      <c r="F56" s="210"/>
      <c r="G56" s="206"/>
      <c r="H56" s="206"/>
      <c r="I56" s="208"/>
      <c r="J56" s="208"/>
      <c r="K56" s="231"/>
      <c r="L56" s="208"/>
      <c r="M56" s="217"/>
      <c r="N56" s="208"/>
      <c r="O56" s="232"/>
      <c r="P56" s="230"/>
      <c r="Q56" s="240"/>
      <c r="R56" s="242"/>
      <c r="S56" s="240"/>
      <c r="T56" s="243"/>
      <c r="U56" s="196"/>
    </row>
    <row r="57" spans="3:21" s="185" customFormat="1" ht="20.25" customHeight="1">
      <c r="C57" s="198"/>
      <c r="D57" s="203">
        <f t="shared" si="1"/>
        <v>57</v>
      </c>
      <c r="E57" s="207" t="s">
        <v>94</v>
      </c>
      <c r="F57" s="211"/>
      <c r="G57" s="206" t="s">
        <v>55</v>
      </c>
      <c r="H57" s="206"/>
      <c r="I57" s="224" t="str">
        <f>I54</f>
        <v>145 t</v>
      </c>
      <c r="J57" s="208" t="str">
        <f>J47</f>
        <v>1308 holes</v>
      </c>
      <c r="K57" s="231">
        <v>1</v>
      </c>
      <c r="L57" s="208" t="s">
        <v>39</v>
      </c>
      <c r="M57" s="227">
        <f>LEFT(J57,SEARCH(" ",J57,1)-1)*LEFT(I57,SEARCH(" ",I57,1)-1)*K57/1000</f>
        <v>189.66</v>
      </c>
      <c r="N57" s="208" t="s">
        <v>79</v>
      </c>
      <c r="O57" s="229">
        <f>1/1.5^1</f>
        <v>0.66666666666666663</v>
      </c>
      <c r="P57" s="230" t="s">
        <v>47</v>
      </c>
      <c r="Q57" s="240">
        <f>M57*O57/24</f>
        <v>5.2683333333333335</v>
      </c>
      <c r="R57" s="242"/>
      <c r="S57" s="240">
        <f t="shared" si="6"/>
        <v>5.27</v>
      </c>
      <c r="T57" s="216" t="s">
        <v>42</v>
      </c>
      <c r="U57" s="196" t="str">
        <f t="shared" si="5"/>
        <v>5.27 Days</v>
      </c>
    </row>
    <row r="58" spans="3:21" s="185" customFormat="1" ht="20.25" customHeight="1">
      <c r="C58" s="198"/>
      <c r="D58" s="203">
        <f t="shared" si="1"/>
        <v>58</v>
      </c>
      <c r="E58" s="207" t="s">
        <v>95</v>
      </c>
      <c r="F58" s="211">
        <f>D57</f>
        <v>57</v>
      </c>
      <c r="G58" s="206" t="s">
        <v>55</v>
      </c>
      <c r="H58" s="206"/>
      <c r="I58" s="224" t="str">
        <f>I54</f>
        <v>145 t</v>
      </c>
      <c r="J58" s="208" t="str">
        <f>J57</f>
        <v>1308 holes</v>
      </c>
      <c r="K58" s="231">
        <v>1</v>
      </c>
      <c r="L58" s="208" t="s">
        <v>40</v>
      </c>
      <c r="M58" s="227" t="str">
        <f>LEFT(J58,SEARCH(" ",J58,1)-1)</f>
        <v>1308</v>
      </c>
      <c r="N58" s="208" t="s">
        <v>81</v>
      </c>
      <c r="O58" s="229">
        <f>1/60*5</f>
        <v>8.3333333333333329E-2</v>
      </c>
      <c r="P58" s="230" t="s">
        <v>47</v>
      </c>
      <c r="Q58" s="240">
        <f>M58*O58/24</f>
        <v>4.541666666666667</v>
      </c>
      <c r="R58" s="242"/>
      <c r="S58" s="240">
        <f t="shared" si="6"/>
        <v>4.54</v>
      </c>
      <c r="T58" s="216" t="s">
        <v>42</v>
      </c>
      <c r="U58" s="196" t="str">
        <f t="shared" si="5"/>
        <v>4.54 Days</v>
      </c>
    </row>
    <row r="59" spans="3:21" s="185" customFormat="1" ht="20.25" customHeight="1">
      <c r="C59" s="198"/>
      <c r="D59" s="203">
        <f t="shared" si="1"/>
        <v>59</v>
      </c>
      <c r="E59" s="207" t="s">
        <v>96</v>
      </c>
      <c r="F59" s="211">
        <f>D58</f>
        <v>58</v>
      </c>
      <c r="G59" s="206" t="s">
        <v>55</v>
      </c>
      <c r="H59" s="206"/>
      <c r="I59" s="224" t="str">
        <f>I54</f>
        <v>145 t</v>
      </c>
      <c r="J59" s="208"/>
      <c r="K59" s="231">
        <v>1</v>
      </c>
      <c r="L59" s="208" t="s">
        <v>83</v>
      </c>
      <c r="M59" s="235">
        <v>1</v>
      </c>
      <c r="N59" s="208" t="s">
        <v>84</v>
      </c>
      <c r="O59" s="229">
        <v>1</v>
      </c>
      <c r="P59" s="230" t="s">
        <v>41</v>
      </c>
      <c r="Q59" s="240">
        <f>M59*O59</f>
        <v>1</v>
      </c>
      <c r="R59" s="242"/>
      <c r="S59" s="240">
        <f t="shared" si="6"/>
        <v>1</v>
      </c>
      <c r="T59" s="216" t="s">
        <v>42</v>
      </c>
      <c r="U59" s="196" t="str">
        <f t="shared" si="5"/>
        <v>1 Days</v>
      </c>
    </row>
    <row r="60" spans="3:21" s="185" customFormat="1" ht="20.25" customHeight="1">
      <c r="C60" s="198"/>
      <c r="D60" s="203">
        <f t="shared" si="1"/>
        <v>60</v>
      </c>
      <c r="E60" s="207" t="s">
        <v>97</v>
      </c>
      <c r="F60" s="211">
        <f>D59</f>
        <v>59</v>
      </c>
      <c r="G60" s="206" t="s">
        <v>55</v>
      </c>
      <c r="H60" s="206"/>
      <c r="I60" s="224" t="str">
        <f>I54</f>
        <v>145 t</v>
      </c>
      <c r="J60" s="208"/>
      <c r="K60" s="231">
        <v>1</v>
      </c>
      <c r="L60" s="208" t="s">
        <v>83</v>
      </c>
      <c r="M60" s="217">
        <v>1</v>
      </c>
      <c r="N60" s="208" t="s">
        <v>84</v>
      </c>
      <c r="O60" s="232">
        <v>4</v>
      </c>
      <c r="P60" s="230" t="s">
        <v>41</v>
      </c>
      <c r="Q60" s="240">
        <f t="shared" ref="Q60:Q61" si="11">M60*O60</f>
        <v>4</v>
      </c>
      <c r="R60" s="242"/>
      <c r="S60" s="240">
        <f t="shared" si="6"/>
        <v>4</v>
      </c>
      <c r="T60" s="216" t="s">
        <v>42</v>
      </c>
      <c r="U60" s="196" t="str">
        <f t="shared" si="5"/>
        <v>4 Days</v>
      </c>
    </row>
    <row r="61" spans="3:21" s="185" customFormat="1" ht="20.25" customHeight="1">
      <c r="C61" s="198"/>
      <c r="D61" s="203">
        <f t="shared" si="1"/>
        <v>61</v>
      </c>
      <c r="E61" s="207" t="s">
        <v>98</v>
      </c>
      <c r="F61" s="211">
        <f>D60</f>
        <v>60</v>
      </c>
      <c r="G61" s="206" t="s">
        <v>44</v>
      </c>
      <c r="H61" s="206"/>
      <c r="I61" s="224" t="str">
        <f>I54</f>
        <v>145 t</v>
      </c>
      <c r="J61" s="208" t="str">
        <f>J58</f>
        <v>1308 holes</v>
      </c>
      <c r="K61" s="231">
        <v>1</v>
      </c>
      <c r="L61" s="208" t="s">
        <v>40</v>
      </c>
      <c r="M61" s="227" t="str">
        <f>LEFT(J61,SEARCH(" ",J61,1)-1)</f>
        <v>1308</v>
      </c>
      <c r="N61" s="208" t="s">
        <v>40</v>
      </c>
      <c r="O61" s="229">
        <f>1/60*3</f>
        <v>0.05</v>
      </c>
      <c r="P61" s="230" t="s">
        <v>87</v>
      </c>
      <c r="Q61" s="240">
        <f t="shared" si="11"/>
        <v>65.400000000000006</v>
      </c>
      <c r="R61" s="242"/>
      <c r="S61" s="240">
        <f t="shared" si="6"/>
        <v>65.400000000000006</v>
      </c>
      <c r="T61" s="243" t="s">
        <v>48</v>
      </c>
      <c r="U61" s="196" t="str">
        <f t="shared" si="5"/>
        <v>65.4 Hrs</v>
      </c>
    </row>
    <row r="62" spans="3:21" s="185" customFormat="1" ht="20.25" customHeight="1">
      <c r="C62" s="198"/>
      <c r="D62" s="203">
        <f t="shared" si="1"/>
        <v>62</v>
      </c>
      <c r="E62" s="207" t="s">
        <v>99</v>
      </c>
      <c r="F62" s="211">
        <f>D61</f>
        <v>61</v>
      </c>
      <c r="G62" s="206" t="s">
        <v>44</v>
      </c>
      <c r="H62" s="206"/>
      <c r="I62" s="208"/>
      <c r="J62" s="208"/>
      <c r="K62" s="231">
        <v>1</v>
      </c>
      <c r="L62" s="208"/>
      <c r="M62" s="227">
        <v>1050</v>
      </c>
      <c r="N62" s="208" t="s">
        <v>40</v>
      </c>
      <c r="O62" s="229">
        <f>1/60*3</f>
        <v>0.05</v>
      </c>
      <c r="P62" s="230" t="s">
        <v>53</v>
      </c>
      <c r="Q62" s="240">
        <f t="shared" si="4"/>
        <v>52.5</v>
      </c>
      <c r="R62" s="242">
        <v>1</v>
      </c>
      <c r="S62" s="240">
        <f t="shared" si="6"/>
        <v>53.5</v>
      </c>
      <c r="T62" s="243" t="s">
        <v>48</v>
      </c>
      <c r="U62" s="196" t="str">
        <f t="shared" si="5"/>
        <v>53.5 Hrs</v>
      </c>
    </row>
    <row r="63" spans="3:21" s="185" customFormat="1" ht="20.25" customHeight="1">
      <c r="C63" s="198">
        <f t="shared" ref="C63:C64" si="12">D63</f>
        <v>63</v>
      </c>
      <c r="D63" s="203">
        <f t="shared" si="1"/>
        <v>63</v>
      </c>
      <c r="E63" s="212" t="s">
        <v>100</v>
      </c>
      <c r="F63" s="210">
        <f>D19</f>
        <v>19</v>
      </c>
      <c r="G63" s="208"/>
      <c r="H63" s="208"/>
      <c r="I63" s="208"/>
      <c r="J63" s="208"/>
      <c r="K63" s="234"/>
      <c r="L63" s="208"/>
      <c r="M63" s="217"/>
      <c r="N63" s="208"/>
      <c r="O63" s="218"/>
      <c r="P63" s="208"/>
      <c r="Q63" s="240"/>
      <c r="R63" s="239"/>
      <c r="S63" s="240"/>
      <c r="T63" s="216"/>
      <c r="U63" s="196"/>
    </row>
    <row r="64" spans="3:21" s="185" customFormat="1" ht="20.25" customHeight="1">
      <c r="C64" s="198">
        <f t="shared" si="12"/>
        <v>64</v>
      </c>
      <c r="D64" s="203">
        <f t="shared" si="1"/>
        <v>64</v>
      </c>
      <c r="E64" s="209" t="s">
        <v>101</v>
      </c>
      <c r="F64" s="210">
        <f>D3</f>
        <v>3</v>
      </c>
      <c r="G64" s="206"/>
      <c r="H64" s="206"/>
      <c r="I64" s="208"/>
      <c r="J64" s="208"/>
      <c r="K64" s="234"/>
      <c r="L64" s="208"/>
      <c r="M64" s="217"/>
      <c r="N64" s="208"/>
      <c r="O64" s="218"/>
      <c r="P64" s="208"/>
      <c r="Q64" s="240"/>
      <c r="R64" s="239"/>
      <c r="S64" s="240"/>
      <c r="T64" s="216"/>
      <c r="U64" s="196"/>
    </row>
    <row r="65" spans="3:21" s="185" customFormat="1" ht="20.25" customHeight="1">
      <c r="C65" s="198"/>
      <c r="D65" s="203">
        <f t="shared" si="1"/>
        <v>65</v>
      </c>
      <c r="E65" s="244" t="s">
        <v>102</v>
      </c>
      <c r="F65" s="211"/>
      <c r="G65" s="206" t="s">
        <v>44</v>
      </c>
      <c r="H65" s="206"/>
      <c r="I65" s="224" t="s">
        <v>103</v>
      </c>
      <c r="J65" s="208"/>
      <c r="K65" s="234">
        <v>2</v>
      </c>
      <c r="L65" s="208" t="s">
        <v>81</v>
      </c>
      <c r="M65" s="217">
        <f>K65</f>
        <v>2</v>
      </c>
      <c r="N65" s="208" t="s">
        <v>81</v>
      </c>
      <c r="O65" s="218">
        <v>1</v>
      </c>
      <c r="P65" s="208"/>
      <c r="Q65" s="240">
        <f t="shared" si="4"/>
        <v>2</v>
      </c>
      <c r="R65" s="239">
        <v>1</v>
      </c>
      <c r="S65" s="240">
        <f t="shared" si="6"/>
        <v>3</v>
      </c>
      <c r="T65" s="243" t="s">
        <v>48</v>
      </c>
      <c r="U65" s="196" t="str">
        <f t="shared" si="5"/>
        <v>3 Hrs</v>
      </c>
    </row>
    <row r="66" spans="3:21" s="185" customFormat="1" ht="20.25" customHeight="1">
      <c r="C66" s="198"/>
      <c r="D66" s="203">
        <f t="shared" si="1"/>
        <v>66</v>
      </c>
      <c r="E66" s="244" t="s">
        <v>104</v>
      </c>
      <c r="F66" s="211">
        <f>D65</f>
        <v>65</v>
      </c>
      <c r="G66" s="206" t="s">
        <v>44</v>
      </c>
      <c r="H66" s="206"/>
      <c r="I66" s="224" t="s">
        <v>105</v>
      </c>
      <c r="J66" s="208"/>
      <c r="K66" s="234">
        <v>2</v>
      </c>
      <c r="L66" s="208" t="s">
        <v>81</v>
      </c>
      <c r="M66" s="217">
        <f>K66</f>
        <v>2</v>
      </c>
      <c r="N66" s="208" t="s">
        <v>81</v>
      </c>
      <c r="O66" s="218">
        <v>0.5</v>
      </c>
      <c r="P66" s="208"/>
      <c r="Q66" s="240">
        <f t="shared" si="4"/>
        <v>1</v>
      </c>
      <c r="R66" s="239">
        <v>1</v>
      </c>
      <c r="S66" s="240">
        <f t="shared" si="6"/>
        <v>2</v>
      </c>
      <c r="T66" s="243" t="s">
        <v>48</v>
      </c>
      <c r="U66" s="196" t="str">
        <f t="shared" si="5"/>
        <v>2 Hrs</v>
      </c>
    </row>
    <row r="67" spans="3:21" s="185" customFormat="1" ht="20.25" customHeight="1">
      <c r="C67" s="198"/>
      <c r="D67" s="203">
        <f t="shared" ref="D67:D130" si="13">D66+1</f>
        <v>67</v>
      </c>
      <c r="E67" s="244" t="s">
        <v>106</v>
      </c>
      <c r="F67" s="211">
        <f>D66</f>
        <v>66</v>
      </c>
      <c r="G67" s="206" t="s">
        <v>44</v>
      </c>
      <c r="H67" s="206"/>
      <c r="I67" s="208"/>
      <c r="J67" s="208"/>
      <c r="K67" s="234">
        <f>K66+K65</f>
        <v>4</v>
      </c>
      <c r="L67" s="208" t="s">
        <v>81</v>
      </c>
      <c r="M67" s="217">
        <f>K67</f>
        <v>4</v>
      </c>
      <c r="N67" s="208" t="s">
        <v>81</v>
      </c>
      <c r="O67" s="218">
        <v>0.5</v>
      </c>
      <c r="P67" s="208"/>
      <c r="Q67" s="240">
        <f t="shared" si="4"/>
        <v>2</v>
      </c>
      <c r="R67" s="239">
        <v>1</v>
      </c>
      <c r="S67" s="240">
        <f t="shared" si="6"/>
        <v>3</v>
      </c>
      <c r="T67" s="243" t="s">
        <v>48</v>
      </c>
      <c r="U67" s="196" t="str">
        <f t="shared" si="5"/>
        <v>3 Hrs</v>
      </c>
    </row>
    <row r="68" spans="3:21" s="185" customFormat="1" ht="20.25" customHeight="1">
      <c r="C68" s="198">
        <f>D68</f>
        <v>68</v>
      </c>
      <c r="D68" s="203">
        <f t="shared" si="13"/>
        <v>68</v>
      </c>
      <c r="E68" s="209" t="s">
        <v>107</v>
      </c>
      <c r="F68" s="210">
        <f>D64</f>
        <v>64</v>
      </c>
      <c r="G68" s="206"/>
      <c r="H68" s="206"/>
      <c r="I68" s="208"/>
      <c r="J68" s="208"/>
      <c r="K68" s="234"/>
      <c r="L68" s="208"/>
      <c r="M68" s="217"/>
      <c r="N68" s="208"/>
      <c r="O68" s="218"/>
      <c r="P68" s="208"/>
      <c r="Q68" s="240"/>
      <c r="R68" s="239"/>
      <c r="S68" s="240"/>
      <c r="T68" s="216"/>
      <c r="U68" s="196"/>
    </row>
    <row r="69" spans="3:21" s="185" customFormat="1" ht="20.25" customHeight="1">
      <c r="C69" s="198"/>
      <c r="D69" s="203">
        <f t="shared" si="13"/>
        <v>69</v>
      </c>
      <c r="E69" s="245" t="s">
        <v>102</v>
      </c>
      <c r="F69" s="211"/>
      <c r="G69" s="206" t="s">
        <v>52</v>
      </c>
      <c r="H69" s="206"/>
      <c r="I69" s="224" t="str">
        <f>I65</f>
        <v>26" nb</v>
      </c>
      <c r="J69" s="208"/>
      <c r="K69" s="234">
        <f>K65</f>
        <v>2</v>
      </c>
      <c r="L69" s="208" t="s">
        <v>81</v>
      </c>
      <c r="M69" s="217">
        <f>K69</f>
        <v>2</v>
      </c>
      <c r="N69" s="208" t="s">
        <v>81</v>
      </c>
      <c r="O69" s="218">
        <v>0</v>
      </c>
      <c r="P69" s="208"/>
      <c r="Q69" s="240">
        <f t="shared" si="4"/>
        <v>0</v>
      </c>
      <c r="R69" s="239">
        <v>0</v>
      </c>
      <c r="S69" s="240"/>
      <c r="T69" s="243" t="s">
        <v>48</v>
      </c>
      <c r="U69" s="196"/>
    </row>
    <row r="70" spans="3:21" s="185" customFormat="1" ht="20.25" customHeight="1">
      <c r="C70" s="198"/>
      <c r="D70" s="203">
        <f t="shared" si="13"/>
        <v>70</v>
      </c>
      <c r="E70" s="245" t="s">
        <v>104</v>
      </c>
      <c r="F70" s="211">
        <f>D69</f>
        <v>69</v>
      </c>
      <c r="G70" s="206" t="s">
        <v>52</v>
      </c>
      <c r="H70" s="206"/>
      <c r="I70" s="224" t="str">
        <f>I66</f>
        <v>2"nb</v>
      </c>
      <c r="J70" s="208"/>
      <c r="K70" s="234">
        <f>K66</f>
        <v>2</v>
      </c>
      <c r="L70" s="208" t="s">
        <v>81</v>
      </c>
      <c r="M70" s="217">
        <f>K70</f>
        <v>2</v>
      </c>
      <c r="N70" s="208" t="s">
        <v>81</v>
      </c>
      <c r="O70" s="218">
        <v>0</v>
      </c>
      <c r="P70" s="208"/>
      <c r="Q70" s="240">
        <f t="shared" si="4"/>
        <v>0</v>
      </c>
      <c r="R70" s="239">
        <v>0</v>
      </c>
      <c r="S70" s="240"/>
      <c r="T70" s="243" t="s">
        <v>48</v>
      </c>
      <c r="U70" s="196"/>
    </row>
    <row r="71" spans="3:21" s="185" customFormat="1" ht="20.25" customHeight="1">
      <c r="C71" s="198"/>
      <c r="D71" s="203">
        <f t="shared" si="13"/>
        <v>71</v>
      </c>
      <c r="E71" s="245" t="s">
        <v>106</v>
      </c>
      <c r="F71" s="211">
        <f>D70</f>
        <v>70</v>
      </c>
      <c r="G71" s="206" t="s">
        <v>52</v>
      </c>
      <c r="H71" s="206"/>
      <c r="I71" s="208"/>
      <c r="J71" s="208"/>
      <c r="K71" s="234">
        <f>K70+K69</f>
        <v>4</v>
      </c>
      <c r="L71" s="208" t="s">
        <v>81</v>
      </c>
      <c r="M71" s="217">
        <f>K71</f>
        <v>4</v>
      </c>
      <c r="N71" s="208" t="s">
        <v>81</v>
      </c>
      <c r="O71" s="218">
        <v>0</v>
      </c>
      <c r="P71" s="208"/>
      <c r="Q71" s="240">
        <f t="shared" si="4"/>
        <v>0</v>
      </c>
      <c r="R71" s="239">
        <v>0</v>
      </c>
      <c r="S71" s="240"/>
      <c r="T71" s="243" t="s">
        <v>48</v>
      </c>
      <c r="U71" s="196"/>
    </row>
    <row r="72" spans="3:21" s="185" customFormat="1" ht="20.25" customHeight="1">
      <c r="C72" s="198">
        <f>D72</f>
        <v>72</v>
      </c>
      <c r="D72" s="203">
        <f t="shared" si="13"/>
        <v>72</v>
      </c>
      <c r="E72" s="209" t="s">
        <v>108</v>
      </c>
      <c r="F72" s="210">
        <f>D68</f>
        <v>68</v>
      </c>
      <c r="G72" s="206"/>
      <c r="H72" s="206"/>
      <c r="I72" s="208"/>
      <c r="J72" s="208"/>
      <c r="K72" s="234"/>
      <c r="L72" s="208"/>
      <c r="M72" s="217"/>
      <c r="N72" s="208"/>
      <c r="O72" s="218"/>
      <c r="P72" s="208"/>
      <c r="Q72" s="240"/>
      <c r="R72" s="239"/>
      <c r="S72" s="240"/>
      <c r="T72" s="216"/>
      <c r="U72" s="196"/>
    </row>
    <row r="73" spans="3:21" s="185" customFormat="1" ht="20.25" customHeight="1">
      <c r="C73" s="198"/>
      <c r="D73" s="203">
        <f t="shared" si="13"/>
        <v>73</v>
      </c>
      <c r="E73" s="244" t="s">
        <v>102</v>
      </c>
      <c r="F73" s="211"/>
      <c r="G73" s="206" t="s">
        <v>52</v>
      </c>
      <c r="H73" s="206"/>
      <c r="I73" s="224" t="str">
        <f>I65</f>
        <v>26" nb</v>
      </c>
      <c r="J73" s="208"/>
      <c r="K73" s="234">
        <f>K65</f>
        <v>2</v>
      </c>
      <c r="L73" s="208" t="s">
        <v>81</v>
      </c>
      <c r="M73" s="217">
        <v>2</v>
      </c>
      <c r="N73" s="208" t="s">
        <v>81</v>
      </c>
      <c r="O73" s="218">
        <v>4</v>
      </c>
      <c r="P73" s="208"/>
      <c r="Q73" s="240">
        <f t="shared" si="4"/>
        <v>8</v>
      </c>
      <c r="R73" s="239">
        <v>0</v>
      </c>
      <c r="S73" s="240">
        <f t="shared" si="6"/>
        <v>8</v>
      </c>
      <c r="T73" s="243" t="s">
        <v>48</v>
      </c>
      <c r="U73" s="196" t="str">
        <f t="shared" si="5"/>
        <v>8 Hrs</v>
      </c>
    </row>
    <row r="74" spans="3:21" s="185" customFormat="1" ht="20.25" customHeight="1">
      <c r="C74" s="198"/>
      <c r="D74" s="203">
        <f t="shared" si="13"/>
        <v>74</v>
      </c>
      <c r="E74" s="244" t="s">
        <v>104</v>
      </c>
      <c r="F74" s="211">
        <f>D73</f>
        <v>73</v>
      </c>
      <c r="G74" s="206" t="s">
        <v>52</v>
      </c>
      <c r="H74" s="206"/>
      <c r="I74" s="224" t="str">
        <f>I66</f>
        <v>2"nb</v>
      </c>
      <c r="J74" s="208"/>
      <c r="K74" s="234">
        <f>K66</f>
        <v>2</v>
      </c>
      <c r="L74" s="208" t="s">
        <v>81</v>
      </c>
      <c r="M74" s="217">
        <v>2</v>
      </c>
      <c r="N74" s="208" t="s">
        <v>81</v>
      </c>
      <c r="O74" s="218">
        <v>0</v>
      </c>
      <c r="P74" s="208"/>
      <c r="Q74" s="240">
        <f t="shared" si="4"/>
        <v>0</v>
      </c>
      <c r="R74" s="239">
        <v>0</v>
      </c>
      <c r="S74" s="240"/>
      <c r="T74" s="243" t="s">
        <v>48</v>
      </c>
      <c r="U74" s="196"/>
    </row>
    <row r="75" spans="3:21" s="185" customFormat="1" ht="20.25" customHeight="1">
      <c r="C75" s="198"/>
      <c r="D75" s="203">
        <f t="shared" si="13"/>
        <v>75</v>
      </c>
      <c r="E75" s="244" t="s">
        <v>109</v>
      </c>
      <c r="F75" s="211">
        <f>D74</f>
        <v>74</v>
      </c>
      <c r="G75" s="206" t="s">
        <v>52</v>
      </c>
      <c r="H75" s="206"/>
      <c r="I75" s="208"/>
      <c r="J75" s="208"/>
      <c r="K75" s="234">
        <f>K74+K73</f>
        <v>4</v>
      </c>
      <c r="L75" s="208" t="s">
        <v>81</v>
      </c>
      <c r="M75" s="217">
        <v>4</v>
      </c>
      <c r="N75" s="208" t="s">
        <v>81</v>
      </c>
      <c r="O75" s="218">
        <v>0</v>
      </c>
      <c r="P75" s="208"/>
      <c r="Q75" s="240">
        <f t="shared" si="4"/>
        <v>0</v>
      </c>
      <c r="R75" s="239">
        <v>0</v>
      </c>
      <c r="S75" s="240"/>
      <c r="T75" s="243" t="s">
        <v>48</v>
      </c>
      <c r="U75" s="196"/>
    </row>
    <row r="76" spans="3:21" s="185" customFormat="1" ht="20.25" customHeight="1">
      <c r="C76" s="198">
        <f>D76</f>
        <v>76</v>
      </c>
      <c r="D76" s="203">
        <f t="shared" si="13"/>
        <v>76</v>
      </c>
      <c r="E76" s="209" t="s">
        <v>110</v>
      </c>
      <c r="F76" s="210">
        <f>D72</f>
        <v>72</v>
      </c>
      <c r="G76" s="206"/>
      <c r="H76" s="206"/>
      <c r="I76" s="208"/>
      <c r="J76" s="208"/>
      <c r="K76" s="234"/>
      <c r="L76" s="208"/>
      <c r="M76" s="217"/>
      <c r="N76" s="208"/>
      <c r="O76" s="218"/>
      <c r="P76" s="208"/>
      <c r="Q76" s="240"/>
      <c r="R76" s="239"/>
      <c r="S76" s="240"/>
      <c r="T76" s="216"/>
      <c r="U76" s="196"/>
    </row>
    <row r="77" spans="3:21" s="185" customFormat="1" ht="20.25" customHeight="1">
      <c r="C77" s="198"/>
      <c r="D77" s="203">
        <f t="shared" si="13"/>
        <v>77</v>
      </c>
      <c r="E77" s="245" t="s">
        <v>102</v>
      </c>
      <c r="F77" s="211"/>
      <c r="G77" s="206" t="s">
        <v>111</v>
      </c>
      <c r="H77" s="206"/>
      <c r="I77" s="224" t="str">
        <f>I65</f>
        <v>26" nb</v>
      </c>
      <c r="J77" s="208"/>
      <c r="K77" s="234">
        <v>2</v>
      </c>
      <c r="L77" s="208" t="s">
        <v>50</v>
      </c>
      <c r="M77" s="217">
        <v>2</v>
      </c>
      <c r="N77" s="208" t="s">
        <v>50</v>
      </c>
      <c r="O77" s="218">
        <v>4</v>
      </c>
      <c r="P77" s="208" t="s">
        <v>112</v>
      </c>
      <c r="Q77" s="240">
        <f t="shared" si="4"/>
        <v>8</v>
      </c>
      <c r="R77" s="239">
        <v>1</v>
      </c>
      <c r="S77" s="240">
        <f t="shared" si="6"/>
        <v>9</v>
      </c>
      <c r="T77" s="243" t="s">
        <v>48</v>
      </c>
      <c r="U77" s="196" t="str">
        <f t="shared" si="5"/>
        <v>9 Hrs</v>
      </c>
    </row>
    <row r="78" spans="3:21" s="185" customFormat="1" ht="20.25" customHeight="1">
      <c r="C78" s="198"/>
      <c r="D78" s="203">
        <f t="shared" si="13"/>
        <v>78</v>
      </c>
      <c r="E78" s="245" t="s">
        <v>104</v>
      </c>
      <c r="F78" s="211">
        <f>D77</f>
        <v>77</v>
      </c>
      <c r="G78" s="206" t="s">
        <v>111</v>
      </c>
      <c r="H78" s="206"/>
      <c r="I78" s="224" t="str">
        <f>I66</f>
        <v>2"nb</v>
      </c>
      <c r="J78" s="208"/>
      <c r="K78" s="234">
        <v>2</v>
      </c>
      <c r="L78" s="208" t="s">
        <v>50</v>
      </c>
      <c r="M78" s="217">
        <v>2</v>
      </c>
      <c r="N78" s="208" t="s">
        <v>50</v>
      </c>
      <c r="O78" s="218">
        <v>0</v>
      </c>
      <c r="P78" s="208" t="s">
        <v>112</v>
      </c>
      <c r="Q78" s="240">
        <f t="shared" si="4"/>
        <v>0</v>
      </c>
      <c r="R78" s="239">
        <v>1</v>
      </c>
      <c r="S78" s="240">
        <f t="shared" si="6"/>
        <v>1</v>
      </c>
      <c r="T78" s="243" t="s">
        <v>48</v>
      </c>
      <c r="U78" s="196" t="str">
        <f t="shared" si="5"/>
        <v>1 Hrs</v>
      </c>
    </row>
    <row r="79" spans="3:21" s="185" customFormat="1" ht="20.25" customHeight="1">
      <c r="C79" s="198"/>
      <c r="D79" s="203">
        <f t="shared" si="13"/>
        <v>79</v>
      </c>
      <c r="E79" s="245" t="s">
        <v>113</v>
      </c>
      <c r="F79" s="211">
        <f>D78</f>
        <v>78</v>
      </c>
      <c r="G79" s="206" t="s">
        <v>111</v>
      </c>
      <c r="H79" s="206"/>
      <c r="I79" s="208"/>
      <c r="J79" s="208"/>
      <c r="K79" s="234">
        <v>4</v>
      </c>
      <c r="L79" s="208" t="s">
        <v>50</v>
      </c>
      <c r="M79" s="217">
        <v>4</v>
      </c>
      <c r="N79" s="208" t="s">
        <v>50</v>
      </c>
      <c r="O79" s="218">
        <v>0.25</v>
      </c>
      <c r="P79" s="208" t="s">
        <v>112</v>
      </c>
      <c r="Q79" s="240">
        <f t="shared" si="4"/>
        <v>1</v>
      </c>
      <c r="R79" s="239">
        <v>1</v>
      </c>
      <c r="S79" s="240">
        <f t="shared" si="6"/>
        <v>2</v>
      </c>
      <c r="T79" s="243" t="s">
        <v>48</v>
      </c>
      <c r="U79" s="196" t="str">
        <f t="shared" si="5"/>
        <v>2 Hrs</v>
      </c>
    </row>
    <row r="80" spans="3:21" s="185" customFormat="1" ht="20.25" customHeight="1">
      <c r="C80" s="198">
        <f>D80</f>
        <v>80</v>
      </c>
      <c r="D80" s="203">
        <f t="shared" si="13"/>
        <v>80</v>
      </c>
      <c r="E80" s="209" t="s">
        <v>114</v>
      </c>
      <c r="F80" s="210">
        <f>D76</f>
        <v>76</v>
      </c>
      <c r="G80" s="206"/>
      <c r="H80" s="206"/>
      <c r="I80" s="208"/>
      <c r="J80" s="208"/>
      <c r="K80" s="234"/>
      <c r="L80" s="208"/>
      <c r="M80" s="217"/>
      <c r="N80" s="208"/>
      <c r="O80" s="218"/>
      <c r="P80" s="208"/>
      <c r="Q80" s="240"/>
      <c r="R80" s="239"/>
      <c r="S80" s="240"/>
      <c r="T80" s="216"/>
      <c r="U80" s="196"/>
    </row>
    <row r="81" spans="3:21" s="185" customFormat="1" ht="20.25" customHeight="1">
      <c r="C81" s="198"/>
      <c r="D81" s="203">
        <f t="shared" si="13"/>
        <v>81</v>
      </c>
      <c r="E81" s="244" t="s">
        <v>102</v>
      </c>
      <c r="F81" s="211"/>
      <c r="G81" s="206" t="s">
        <v>115</v>
      </c>
      <c r="H81" s="206"/>
      <c r="I81" s="224" t="s">
        <v>116</v>
      </c>
      <c r="J81" s="234" t="s">
        <v>117</v>
      </c>
      <c r="K81" s="234">
        <v>2</v>
      </c>
      <c r="L81" s="208" t="s">
        <v>50</v>
      </c>
      <c r="M81" s="227">
        <f>LEFT(J81,SEARCH(" ",J81,1)-1)*K81*0.001</f>
        <v>6.1080000000000005</v>
      </c>
      <c r="N81" s="208" t="s">
        <v>50</v>
      </c>
      <c r="O81" s="246">
        <f>6.12</f>
        <v>6.12</v>
      </c>
      <c r="P81" s="208" t="s">
        <v>112</v>
      </c>
      <c r="Q81" s="240">
        <f>M81*O81</f>
        <v>37.380960000000002</v>
      </c>
      <c r="R81" s="239">
        <v>1</v>
      </c>
      <c r="S81" s="240">
        <f t="shared" si="6"/>
        <v>38.380000000000003</v>
      </c>
      <c r="T81" s="243" t="s">
        <v>48</v>
      </c>
      <c r="U81" s="196" t="str">
        <f t="shared" si="5"/>
        <v>38.38 Hrs</v>
      </c>
    </row>
    <row r="82" spans="3:21" s="185" customFormat="1" ht="20.25" customHeight="1">
      <c r="C82" s="198"/>
      <c r="D82" s="203">
        <f t="shared" si="13"/>
        <v>82</v>
      </c>
      <c r="E82" s="244" t="s">
        <v>104</v>
      </c>
      <c r="F82" s="211">
        <f>D81</f>
        <v>81</v>
      </c>
      <c r="G82" s="206" t="s">
        <v>115</v>
      </c>
      <c r="H82" s="206"/>
      <c r="I82" s="224" t="str">
        <f>I70</f>
        <v>2"nb</v>
      </c>
      <c r="J82" s="234" t="s">
        <v>118</v>
      </c>
      <c r="K82" s="234">
        <v>2</v>
      </c>
      <c r="L82" s="208" t="s">
        <v>50</v>
      </c>
      <c r="M82" s="217">
        <v>0</v>
      </c>
      <c r="N82" s="208" t="s">
        <v>50</v>
      </c>
      <c r="O82" s="246"/>
      <c r="P82" s="208" t="s">
        <v>112</v>
      </c>
      <c r="Q82" s="240">
        <f t="shared" si="4"/>
        <v>0</v>
      </c>
      <c r="R82" s="239"/>
      <c r="S82" s="240"/>
      <c r="T82" s="243" t="s">
        <v>48</v>
      </c>
      <c r="U82" s="196"/>
    </row>
    <row r="83" spans="3:21" s="185" customFormat="1" ht="20.25" customHeight="1">
      <c r="C83" s="198"/>
      <c r="D83" s="203">
        <f t="shared" si="13"/>
        <v>83</v>
      </c>
      <c r="E83" s="244" t="s">
        <v>109</v>
      </c>
      <c r="F83" s="211">
        <f>D82</f>
        <v>82</v>
      </c>
      <c r="G83" s="206" t="s">
        <v>115</v>
      </c>
      <c r="H83" s="206"/>
      <c r="I83" s="208"/>
      <c r="J83" s="208"/>
      <c r="K83" s="234">
        <v>4</v>
      </c>
      <c r="L83" s="208" t="s">
        <v>50</v>
      </c>
      <c r="M83" s="217">
        <v>4</v>
      </c>
      <c r="N83" s="208" t="s">
        <v>50</v>
      </c>
      <c r="O83" s="218">
        <v>0.25</v>
      </c>
      <c r="P83" s="208" t="s">
        <v>112</v>
      </c>
      <c r="Q83" s="240">
        <f t="shared" si="4"/>
        <v>1</v>
      </c>
      <c r="R83" s="239">
        <v>1</v>
      </c>
      <c r="S83" s="240">
        <f t="shared" si="6"/>
        <v>2</v>
      </c>
      <c r="T83" s="243" t="s">
        <v>48</v>
      </c>
      <c r="U83" s="196" t="str">
        <f t="shared" si="5"/>
        <v>2 Hrs</v>
      </c>
    </row>
    <row r="84" spans="3:21" s="185" customFormat="1" ht="20.25" customHeight="1">
      <c r="C84" s="198">
        <f>D84</f>
        <v>84</v>
      </c>
      <c r="D84" s="203">
        <f t="shared" si="13"/>
        <v>84</v>
      </c>
      <c r="E84" s="209" t="s">
        <v>119</v>
      </c>
      <c r="F84" s="210">
        <f>D80</f>
        <v>80</v>
      </c>
      <c r="G84" s="206"/>
      <c r="H84" s="206"/>
      <c r="I84" s="208"/>
      <c r="J84" s="208"/>
      <c r="K84" s="234"/>
      <c r="L84" s="208"/>
      <c r="M84" s="217"/>
      <c r="N84" s="208"/>
      <c r="O84" s="218"/>
      <c r="P84" s="208"/>
      <c r="Q84" s="240"/>
      <c r="R84" s="239"/>
      <c r="S84" s="240"/>
      <c r="T84" s="216"/>
      <c r="U84" s="196"/>
    </row>
    <row r="85" spans="3:21" s="185" customFormat="1" ht="20.25" customHeight="1">
      <c r="C85" s="198"/>
      <c r="D85" s="203">
        <f t="shared" si="13"/>
        <v>85</v>
      </c>
      <c r="E85" s="245" t="s">
        <v>102</v>
      </c>
      <c r="F85" s="211"/>
      <c r="G85" s="206" t="s">
        <v>44</v>
      </c>
      <c r="H85" s="206"/>
      <c r="I85" s="224" t="str">
        <f>I73</f>
        <v>26" nb</v>
      </c>
      <c r="J85" s="208"/>
      <c r="K85" s="234">
        <v>2</v>
      </c>
      <c r="L85" s="208" t="s">
        <v>50</v>
      </c>
      <c r="M85" s="217">
        <v>1</v>
      </c>
      <c r="N85" s="208" t="s">
        <v>50</v>
      </c>
      <c r="O85" s="246">
        <v>4</v>
      </c>
      <c r="P85" s="208" t="s">
        <v>112</v>
      </c>
      <c r="Q85" s="240">
        <f t="shared" si="4"/>
        <v>4</v>
      </c>
      <c r="R85" s="239">
        <v>1</v>
      </c>
      <c r="S85" s="240">
        <f t="shared" si="6"/>
        <v>5</v>
      </c>
      <c r="T85" s="243" t="s">
        <v>48</v>
      </c>
      <c r="U85" s="196" t="str">
        <f t="shared" si="5"/>
        <v>5 Hrs</v>
      </c>
    </row>
    <row r="86" spans="3:21" s="185" customFormat="1" ht="20.25" customHeight="1">
      <c r="C86" s="198"/>
      <c r="D86" s="203">
        <f t="shared" si="13"/>
        <v>86</v>
      </c>
      <c r="E86" s="245" t="s">
        <v>104</v>
      </c>
      <c r="F86" s="211">
        <f>D85</f>
        <v>85</v>
      </c>
      <c r="G86" s="206" t="s">
        <v>44</v>
      </c>
      <c r="H86" s="206"/>
      <c r="I86" s="224" t="str">
        <f>I74</f>
        <v>2"nb</v>
      </c>
      <c r="J86" s="208"/>
      <c r="K86" s="234">
        <v>2</v>
      </c>
      <c r="L86" s="208" t="s">
        <v>50</v>
      </c>
      <c r="M86" s="217">
        <v>1</v>
      </c>
      <c r="N86" s="208" t="s">
        <v>50</v>
      </c>
      <c r="O86" s="246">
        <v>1</v>
      </c>
      <c r="P86" s="208" t="s">
        <v>112</v>
      </c>
      <c r="Q86" s="240">
        <f t="shared" si="4"/>
        <v>1</v>
      </c>
      <c r="R86" s="239">
        <v>1</v>
      </c>
      <c r="S86" s="240">
        <f t="shared" si="6"/>
        <v>2</v>
      </c>
      <c r="T86" s="243" t="s">
        <v>48</v>
      </c>
      <c r="U86" s="196" t="str">
        <f t="shared" si="5"/>
        <v>2 Hrs</v>
      </c>
    </row>
    <row r="87" spans="3:21" s="185" customFormat="1" ht="20.25" customHeight="1">
      <c r="C87" s="198"/>
      <c r="D87" s="203">
        <f t="shared" si="13"/>
        <v>87</v>
      </c>
      <c r="E87" s="245" t="s">
        <v>109</v>
      </c>
      <c r="F87" s="211">
        <f>D86</f>
        <v>86</v>
      </c>
      <c r="G87" s="206" t="s">
        <v>44</v>
      </c>
      <c r="H87" s="206"/>
      <c r="I87" s="208"/>
      <c r="J87" s="208"/>
      <c r="K87" s="234">
        <v>4</v>
      </c>
      <c r="L87" s="208" t="s">
        <v>50</v>
      </c>
      <c r="M87" s="217">
        <v>1</v>
      </c>
      <c r="N87" s="208" t="s">
        <v>50</v>
      </c>
      <c r="O87" s="218">
        <v>1</v>
      </c>
      <c r="P87" s="208" t="s">
        <v>112</v>
      </c>
      <c r="Q87" s="240">
        <f t="shared" si="4"/>
        <v>1</v>
      </c>
      <c r="R87" s="239">
        <v>1</v>
      </c>
      <c r="S87" s="240">
        <f t="shared" si="6"/>
        <v>2</v>
      </c>
      <c r="T87" s="243" t="s">
        <v>48</v>
      </c>
      <c r="U87" s="196" t="str">
        <f t="shared" si="5"/>
        <v>2 Hrs</v>
      </c>
    </row>
    <row r="88" spans="3:21" s="185" customFormat="1" ht="20.25" customHeight="1">
      <c r="C88" s="198">
        <f>D88</f>
        <v>88</v>
      </c>
      <c r="D88" s="203">
        <f t="shared" si="13"/>
        <v>88</v>
      </c>
      <c r="E88" s="209" t="s">
        <v>120</v>
      </c>
      <c r="F88" s="210">
        <f>D84</f>
        <v>84</v>
      </c>
      <c r="G88" s="206"/>
      <c r="H88" s="206"/>
      <c r="I88" s="208"/>
      <c r="J88" s="208"/>
      <c r="K88" s="234"/>
      <c r="L88" s="208"/>
      <c r="M88" s="217"/>
      <c r="N88" s="208"/>
      <c r="O88" s="218"/>
      <c r="P88" s="208"/>
      <c r="Q88" s="240"/>
      <c r="R88" s="239"/>
      <c r="S88" s="240"/>
      <c r="T88" s="216"/>
      <c r="U88" s="196"/>
    </row>
    <row r="89" spans="3:21" s="185" customFormat="1" ht="20.25" customHeight="1">
      <c r="C89" s="198"/>
      <c r="D89" s="203">
        <f t="shared" si="13"/>
        <v>89</v>
      </c>
      <c r="E89" s="244" t="s">
        <v>102</v>
      </c>
      <c r="F89" s="211"/>
      <c r="G89" s="206" t="s">
        <v>121</v>
      </c>
      <c r="H89" s="206"/>
      <c r="I89" s="224" t="str">
        <f>I77</f>
        <v>26" nb</v>
      </c>
      <c r="J89" s="208"/>
      <c r="K89" s="234">
        <v>2</v>
      </c>
      <c r="L89" s="208" t="s">
        <v>50</v>
      </c>
      <c r="M89" s="217">
        <v>0</v>
      </c>
      <c r="N89" s="208" t="s">
        <v>50</v>
      </c>
      <c r="O89" s="246"/>
      <c r="P89" s="208" t="s">
        <v>112</v>
      </c>
      <c r="Q89" s="240">
        <f t="shared" si="4"/>
        <v>0</v>
      </c>
      <c r="R89" s="239">
        <v>1</v>
      </c>
      <c r="S89" s="240">
        <f t="shared" si="6"/>
        <v>1</v>
      </c>
      <c r="T89" s="243" t="s">
        <v>48</v>
      </c>
      <c r="U89" s="196" t="str">
        <f t="shared" si="5"/>
        <v>1 Hrs</v>
      </c>
    </row>
    <row r="90" spans="3:21" s="185" customFormat="1" ht="20.25" customHeight="1">
      <c r="C90" s="198"/>
      <c r="D90" s="203">
        <f t="shared" si="13"/>
        <v>90</v>
      </c>
      <c r="E90" s="244" t="s">
        <v>104</v>
      </c>
      <c r="F90" s="211">
        <f>D89</f>
        <v>89</v>
      </c>
      <c r="G90" s="206" t="s">
        <v>121</v>
      </c>
      <c r="H90" s="206"/>
      <c r="I90" s="224" t="str">
        <f>I78</f>
        <v>2"nb</v>
      </c>
      <c r="J90" s="208"/>
      <c r="K90" s="234">
        <v>2</v>
      </c>
      <c r="L90" s="208" t="s">
        <v>50</v>
      </c>
      <c r="M90" s="217">
        <v>0</v>
      </c>
      <c r="N90" s="208" t="s">
        <v>50</v>
      </c>
      <c r="O90" s="246"/>
      <c r="P90" s="208" t="s">
        <v>112</v>
      </c>
      <c r="Q90" s="240">
        <f t="shared" si="4"/>
        <v>0</v>
      </c>
      <c r="R90" s="239">
        <v>1</v>
      </c>
      <c r="S90" s="240">
        <f t="shared" si="6"/>
        <v>1</v>
      </c>
      <c r="T90" s="243" t="s">
        <v>48</v>
      </c>
      <c r="U90" s="196" t="str">
        <f t="shared" si="5"/>
        <v>1 Hrs</v>
      </c>
    </row>
    <row r="91" spans="3:21" s="185" customFormat="1" ht="20.25" customHeight="1">
      <c r="C91" s="198"/>
      <c r="D91" s="203">
        <f t="shared" si="13"/>
        <v>91</v>
      </c>
      <c r="E91" s="244" t="s">
        <v>109</v>
      </c>
      <c r="F91" s="211">
        <f>D90</f>
        <v>90</v>
      </c>
      <c r="G91" s="206" t="s">
        <v>121</v>
      </c>
      <c r="H91" s="206"/>
      <c r="I91" s="208"/>
      <c r="J91" s="208"/>
      <c r="K91" s="234">
        <v>4</v>
      </c>
      <c r="L91" s="208" t="s">
        <v>50</v>
      </c>
      <c r="M91" s="217">
        <v>0</v>
      </c>
      <c r="N91" s="208" t="s">
        <v>50</v>
      </c>
      <c r="O91" s="218"/>
      <c r="P91" s="208" t="s">
        <v>112</v>
      </c>
      <c r="Q91" s="240">
        <f t="shared" si="4"/>
        <v>0</v>
      </c>
      <c r="R91" s="239">
        <v>1</v>
      </c>
      <c r="S91" s="240">
        <f t="shared" si="6"/>
        <v>1</v>
      </c>
      <c r="T91" s="243" t="s">
        <v>48</v>
      </c>
      <c r="U91" s="196" t="str">
        <f t="shared" si="5"/>
        <v>1 Hrs</v>
      </c>
    </row>
    <row r="92" spans="3:21" s="185" customFormat="1" ht="20.25" customHeight="1">
      <c r="C92" s="198">
        <f>D92</f>
        <v>92</v>
      </c>
      <c r="D92" s="203">
        <f t="shared" si="13"/>
        <v>92</v>
      </c>
      <c r="E92" s="209" t="s">
        <v>122</v>
      </c>
      <c r="F92" s="210">
        <f>D88</f>
        <v>88</v>
      </c>
      <c r="G92" s="206"/>
      <c r="H92" s="206"/>
      <c r="I92" s="208"/>
      <c r="J92" s="208"/>
      <c r="K92" s="234"/>
      <c r="L92" s="208"/>
      <c r="M92" s="217"/>
      <c r="N92" s="208"/>
      <c r="O92" s="218"/>
      <c r="P92" s="208"/>
      <c r="Q92" s="240"/>
      <c r="R92" s="239"/>
      <c r="S92" s="240"/>
      <c r="T92" s="216"/>
      <c r="U92" s="196"/>
    </row>
    <row r="93" spans="3:21" s="185" customFormat="1" ht="20.25" customHeight="1">
      <c r="C93" s="198"/>
      <c r="D93" s="203">
        <f t="shared" si="13"/>
        <v>93</v>
      </c>
      <c r="E93" s="245" t="s">
        <v>102</v>
      </c>
      <c r="F93" s="211"/>
      <c r="G93" s="206" t="s">
        <v>121</v>
      </c>
      <c r="H93" s="206"/>
      <c r="I93" s="224" t="s">
        <v>123</v>
      </c>
      <c r="J93" s="208" t="str">
        <f>J81</f>
        <v>3054 mm</v>
      </c>
      <c r="K93" s="234">
        <v>2</v>
      </c>
      <c r="L93" s="208" t="s">
        <v>50</v>
      </c>
      <c r="M93" s="227">
        <f>LEFT(J93,SEARCH(" ",J93,1)-1)*K93*0.001</f>
        <v>6.1080000000000005</v>
      </c>
      <c r="N93" s="208" t="s">
        <v>50</v>
      </c>
      <c r="O93" s="246">
        <v>1</v>
      </c>
      <c r="P93" s="208" t="s">
        <v>112</v>
      </c>
      <c r="Q93" s="240">
        <f t="shared" ref="Q93:Q156" si="14">M93*O93</f>
        <v>6.1080000000000005</v>
      </c>
      <c r="R93" s="239">
        <v>1</v>
      </c>
      <c r="S93" s="240">
        <f t="shared" ref="S93:S156" si="15">ROUND(Q93+R93,2)</f>
        <v>7.11</v>
      </c>
      <c r="T93" s="243" t="s">
        <v>48</v>
      </c>
      <c r="U93" s="196" t="str">
        <f t="shared" ref="U93:U155" si="16">CONCATENATE(S93," ",T93)</f>
        <v>7.11 Hrs</v>
      </c>
    </row>
    <row r="94" spans="3:21" s="185" customFormat="1" ht="20.25" customHeight="1">
      <c r="C94" s="198"/>
      <c r="D94" s="203">
        <f t="shared" si="13"/>
        <v>94</v>
      </c>
      <c r="E94" s="245" t="s">
        <v>104</v>
      </c>
      <c r="F94" s="211">
        <f t="shared" ref="F94:F156" si="17">D93</f>
        <v>93</v>
      </c>
      <c r="G94" s="206" t="s">
        <v>121</v>
      </c>
      <c r="H94" s="206"/>
      <c r="I94" s="224">
        <v>18</v>
      </c>
      <c r="J94" s="211" t="str">
        <f>J82</f>
        <v>272 MM</v>
      </c>
      <c r="K94" s="234">
        <v>2</v>
      </c>
      <c r="L94" s="208" t="s">
        <v>50</v>
      </c>
      <c r="M94" s="227">
        <f>LEFT(J94,SEARCH(" ",J94,1)-1)*K94*0.001</f>
        <v>0.54400000000000004</v>
      </c>
      <c r="N94" s="208" t="s">
        <v>50</v>
      </c>
      <c r="O94" s="246">
        <v>0.5</v>
      </c>
      <c r="P94" s="208" t="s">
        <v>112</v>
      </c>
      <c r="Q94" s="240">
        <f t="shared" si="14"/>
        <v>0.27200000000000002</v>
      </c>
      <c r="R94" s="239">
        <v>1</v>
      </c>
      <c r="S94" s="240">
        <f t="shared" si="15"/>
        <v>1.27</v>
      </c>
      <c r="T94" s="243" t="s">
        <v>48</v>
      </c>
      <c r="U94" s="196" t="str">
        <f t="shared" si="16"/>
        <v>1.27 Hrs</v>
      </c>
    </row>
    <row r="95" spans="3:21" s="185" customFormat="1" ht="20.25" customHeight="1">
      <c r="C95" s="198"/>
      <c r="D95" s="203">
        <f t="shared" si="13"/>
        <v>95</v>
      </c>
      <c r="E95" s="245" t="s">
        <v>109</v>
      </c>
      <c r="F95" s="211">
        <f t="shared" si="17"/>
        <v>94</v>
      </c>
      <c r="G95" s="206" t="s">
        <v>121</v>
      </c>
      <c r="H95" s="206"/>
      <c r="I95" s="208"/>
      <c r="J95" s="208"/>
      <c r="K95" s="234">
        <v>4</v>
      </c>
      <c r="L95" s="208" t="s">
        <v>50</v>
      </c>
      <c r="M95" s="217">
        <v>1</v>
      </c>
      <c r="N95" s="208" t="s">
        <v>50</v>
      </c>
      <c r="O95" s="218">
        <v>1</v>
      </c>
      <c r="P95" s="208" t="s">
        <v>112</v>
      </c>
      <c r="Q95" s="240">
        <f t="shared" si="14"/>
        <v>1</v>
      </c>
      <c r="R95" s="239">
        <v>1</v>
      </c>
      <c r="S95" s="240">
        <f t="shared" si="15"/>
        <v>2</v>
      </c>
      <c r="T95" s="243" t="s">
        <v>48</v>
      </c>
      <c r="U95" s="196" t="str">
        <f t="shared" si="16"/>
        <v>2 Hrs</v>
      </c>
    </row>
    <row r="96" spans="3:21" s="185" customFormat="1" ht="20.25" customHeight="1">
      <c r="C96" s="198">
        <f>D96</f>
        <v>96</v>
      </c>
      <c r="D96" s="203">
        <f t="shared" si="13"/>
        <v>96</v>
      </c>
      <c r="E96" s="209" t="s">
        <v>124</v>
      </c>
      <c r="F96" s="210">
        <f>D92</f>
        <v>92</v>
      </c>
      <c r="G96" s="206"/>
      <c r="H96" s="206"/>
      <c r="I96" s="208"/>
      <c r="J96" s="208"/>
      <c r="K96" s="234"/>
      <c r="L96" s="208"/>
      <c r="M96" s="217"/>
      <c r="N96" s="208"/>
      <c r="O96" s="218"/>
      <c r="P96" s="208"/>
      <c r="Q96" s="240"/>
      <c r="R96" s="239"/>
      <c r="S96" s="240"/>
      <c r="T96" s="216"/>
      <c r="U96" s="196"/>
    </row>
    <row r="97" spans="3:21" s="185" customFormat="1" ht="20.25" customHeight="1">
      <c r="C97" s="198"/>
      <c r="D97" s="203">
        <f t="shared" si="13"/>
        <v>97</v>
      </c>
      <c r="E97" s="207" t="s">
        <v>125</v>
      </c>
      <c r="F97" s="211"/>
      <c r="G97" s="206" t="s">
        <v>44</v>
      </c>
      <c r="H97" s="206"/>
      <c r="I97" s="224" t="s">
        <v>103</v>
      </c>
      <c r="J97" s="208" t="str">
        <f>J93</f>
        <v>3054 mm</v>
      </c>
      <c r="K97" s="234">
        <v>2</v>
      </c>
      <c r="L97" s="208" t="s">
        <v>81</v>
      </c>
      <c r="M97" s="217">
        <f>K97</f>
        <v>2</v>
      </c>
      <c r="N97" s="208" t="s">
        <v>81</v>
      </c>
      <c r="O97" s="218">
        <v>1</v>
      </c>
      <c r="P97" s="208"/>
      <c r="Q97" s="240">
        <f t="shared" ref="Q97:Q99" si="18">M97*O97</f>
        <v>2</v>
      </c>
      <c r="R97" s="239">
        <v>1</v>
      </c>
      <c r="S97" s="240">
        <f t="shared" si="15"/>
        <v>3</v>
      </c>
      <c r="T97" s="243" t="s">
        <v>48</v>
      </c>
      <c r="U97" s="196" t="str">
        <f t="shared" si="16"/>
        <v>3 Hrs</v>
      </c>
    </row>
    <row r="98" spans="3:21" s="185" customFormat="1" ht="20.25" customHeight="1">
      <c r="C98" s="198"/>
      <c r="D98" s="203">
        <f t="shared" si="13"/>
        <v>98</v>
      </c>
      <c r="E98" s="207" t="s">
        <v>104</v>
      </c>
      <c r="F98" s="211">
        <f t="shared" si="17"/>
        <v>97</v>
      </c>
      <c r="G98" s="206" t="s">
        <v>44</v>
      </c>
      <c r="H98" s="206"/>
      <c r="I98" s="224" t="s">
        <v>105</v>
      </c>
      <c r="J98" s="208" t="str">
        <f>J94</f>
        <v>272 MM</v>
      </c>
      <c r="K98" s="234">
        <v>2</v>
      </c>
      <c r="L98" s="208" t="s">
        <v>81</v>
      </c>
      <c r="M98" s="217">
        <f>K98</f>
        <v>2</v>
      </c>
      <c r="N98" s="208" t="s">
        <v>81</v>
      </c>
      <c r="O98" s="218">
        <v>1</v>
      </c>
      <c r="P98" s="208"/>
      <c r="Q98" s="240">
        <f t="shared" si="18"/>
        <v>2</v>
      </c>
      <c r="R98" s="239">
        <v>1</v>
      </c>
      <c r="S98" s="240">
        <f t="shared" si="15"/>
        <v>3</v>
      </c>
      <c r="T98" s="243" t="s">
        <v>48</v>
      </c>
      <c r="U98" s="196" t="str">
        <f t="shared" si="16"/>
        <v>3 Hrs</v>
      </c>
    </row>
    <row r="99" spans="3:21" s="185" customFormat="1" ht="20.25" customHeight="1">
      <c r="C99" s="198"/>
      <c r="D99" s="203">
        <f t="shared" si="13"/>
        <v>99</v>
      </c>
      <c r="E99" s="207" t="s">
        <v>109</v>
      </c>
      <c r="F99" s="211">
        <f t="shared" si="17"/>
        <v>98</v>
      </c>
      <c r="G99" s="206" t="s">
        <v>44</v>
      </c>
      <c r="H99" s="206"/>
      <c r="I99" s="208"/>
      <c r="J99" s="208"/>
      <c r="K99" s="234">
        <f>K98+K97</f>
        <v>4</v>
      </c>
      <c r="L99" s="208" t="s">
        <v>81</v>
      </c>
      <c r="M99" s="217">
        <f>K99</f>
        <v>4</v>
      </c>
      <c r="N99" s="208" t="s">
        <v>81</v>
      </c>
      <c r="O99" s="218">
        <v>0.5</v>
      </c>
      <c r="P99" s="208"/>
      <c r="Q99" s="240">
        <f t="shared" si="18"/>
        <v>2</v>
      </c>
      <c r="R99" s="239">
        <v>1</v>
      </c>
      <c r="S99" s="240">
        <f t="shared" si="15"/>
        <v>3</v>
      </c>
      <c r="T99" s="243" t="s">
        <v>48</v>
      </c>
      <c r="U99" s="196" t="str">
        <f t="shared" si="16"/>
        <v>3 Hrs</v>
      </c>
    </row>
    <row r="100" spans="3:21" s="185" customFormat="1" ht="20.25" customHeight="1">
      <c r="C100" s="198">
        <f>D100</f>
        <v>100</v>
      </c>
      <c r="D100" s="203">
        <f t="shared" si="13"/>
        <v>100</v>
      </c>
      <c r="E100" s="209" t="s">
        <v>126</v>
      </c>
      <c r="F100" s="210">
        <f>D96</f>
        <v>96</v>
      </c>
      <c r="G100" s="206"/>
      <c r="H100" s="206"/>
      <c r="I100" s="208"/>
      <c r="J100" s="208"/>
      <c r="K100" s="234"/>
      <c r="L100" s="208"/>
      <c r="M100" s="217"/>
      <c r="N100" s="208"/>
      <c r="O100" s="218"/>
      <c r="P100" s="208"/>
      <c r="Q100" s="240"/>
      <c r="R100" s="239"/>
      <c r="S100" s="240"/>
      <c r="T100" s="216"/>
      <c r="U100" s="196"/>
    </row>
    <row r="101" spans="3:21" s="185" customFormat="1" ht="20.25" customHeight="1">
      <c r="C101" s="198"/>
      <c r="D101" s="203">
        <f t="shared" si="13"/>
        <v>101</v>
      </c>
      <c r="E101" s="207" t="s">
        <v>125</v>
      </c>
      <c r="F101" s="211"/>
      <c r="G101" s="206" t="s">
        <v>52</v>
      </c>
      <c r="H101" s="206"/>
      <c r="I101" s="224" t="str">
        <f>I97</f>
        <v>26" nb</v>
      </c>
      <c r="J101" s="208"/>
      <c r="K101" s="234">
        <f>K97</f>
        <v>2</v>
      </c>
      <c r="L101" s="208" t="s">
        <v>81</v>
      </c>
      <c r="M101" s="217">
        <f>K101</f>
        <v>2</v>
      </c>
      <c r="N101" s="208" t="s">
        <v>81</v>
      </c>
      <c r="O101" s="218">
        <v>0</v>
      </c>
      <c r="P101" s="208"/>
      <c r="Q101" s="240">
        <f t="shared" si="14"/>
        <v>0</v>
      </c>
      <c r="R101" s="239">
        <v>0</v>
      </c>
      <c r="S101" s="240"/>
      <c r="T101" s="243" t="s">
        <v>48</v>
      </c>
      <c r="U101" s="196"/>
    </row>
    <row r="102" spans="3:21" s="185" customFormat="1" ht="20.25" customHeight="1">
      <c r="C102" s="198"/>
      <c r="D102" s="203">
        <f t="shared" si="13"/>
        <v>102</v>
      </c>
      <c r="E102" s="207" t="s">
        <v>104</v>
      </c>
      <c r="F102" s="211">
        <f t="shared" si="17"/>
        <v>101</v>
      </c>
      <c r="G102" s="206" t="s">
        <v>52</v>
      </c>
      <c r="H102" s="206"/>
      <c r="I102" s="224" t="str">
        <f>I98</f>
        <v>2"nb</v>
      </c>
      <c r="J102" s="208"/>
      <c r="K102" s="234">
        <f>K98</f>
        <v>2</v>
      </c>
      <c r="L102" s="208" t="s">
        <v>81</v>
      </c>
      <c r="M102" s="217">
        <f>K102</f>
        <v>2</v>
      </c>
      <c r="N102" s="208" t="s">
        <v>81</v>
      </c>
      <c r="O102" s="218">
        <v>0</v>
      </c>
      <c r="P102" s="208"/>
      <c r="Q102" s="240">
        <f t="shared" si="14"/>
        <v>0</v>
      </c>
      <c r="R102" s="239">
        <v>0</v>
      </c>
      <c r="S102" s="240"/>
      <c r="T102" s="243" t="s">
        <v>48</v>
      </c>
      <c r="U102" s="196"/>
    </row>
    <row r="103" spans="3:21" s="185" customFormat="1" ht="20.25" customHeight="1">
      <c r="C103" s="198"/>
      <c r="D103" s="203">
        <f t="shared" si="13"/>
        <v>103</v>
      </c>
      <c r="E103" s="207" t="s">
        <v>109</v>
      </c>
      <c r="F103" s="211">
        <f t="shared" si="17"/>
        <v>102</v>
      </c>
      <c r="G103" s="206" t="s">
        <v>52</v>
      </c>
      <c r="H103" s="206"/>
      <c r="I103" s="208"/>
      <c r="J103" s="208"/>
      <c r="K103" s="234">
        <f>K102+K101</f>
        <v>4</v>
      </c>
      <c r="L103" s="208" t="s">
        <v>81</v>
      </c>
      <c r="M103" s="217">
        <f>K103</f>
        <v>4</v>
      </c>
      <c r="N103" s="208" t="s">
        <v>81</v>
      </c>
      <c r="O103" s="218">
        <v>0</v>
      </c>
      <c r="P103" s="208"/>
      <c r="Q103" s="240">
        <f t="shared" si="14"/>
        <v>0</v>
      </c>
      <c r="R103" s="239">
        <v>0</v>
      </c>
      <c r="S103" s="240"/>
      <c r="T103" s="243" t="s">
        <v>48</v>
      </c>
      <c r="U103" s="196"/>
    </row>
    <row r="104" spans="3:21" s="185" customFormat="1" ht="20.25" customHeight="1">
      <c r="C104" s="198">
        <f>D104</f>
        <v>104</v>
      </c>
      <c r="D104" s="203">
        <f t="shared" si="13"/>
        <v>104</v>
      </c>
      <c r="E104" s="209" t="s">
        <v>127</v>
      </c>
      <c r="F104" s="210">
        <f>D100</f>
        <v>100</v>
      </c>
      <c r="G104" s="206"/>
      <c r="H104" s="206"/>
      <c r="I104" s="208"/>
      <c r="J104" s="208"/>
      <c r="K104" s="234"/>
      <c r="L104" s="208"/>
      <c r="M104" s="217"/>
      <c r="N104" s="208"/>
      <c r="O104" s="218"/>
      <c r="P104" s="208"/>
      <c r="Q104" s="240"/>
      <c r="R104" s="239"/>
      <c r="S104" s="240"/>
      <c r="T104" s="216"/>
      <c r="U104" s="196"/>
    </row>
    <row r="105" spans="3:21" s="185" customFormat="1" ht="20.25" customHeight="1">
      <c r="C105" s="198"/>
      <c r="D105" s="203">
        <f t="shared" si="13"/>
        <v>105</v>
      </c>
      <c r="E105" s="207" t="s">
        <v>125</v>
      </c>
      <c r="F105" s="211"/>
      <c r="G105" s="206" t="s">
        <v>121</v>
      </c>
      <c r="H105" s="206"/>
      <c r="I105" s="224" t="str">
        <f>I97</f>
        <v>26" nb</v>
      </c>
      <c r="J105" s="208"/>
      <c r="K105" s="234">
        <f>K97</f>
        <v>2</v>
      </c>
      <c r="L105" s="208" t="s">
        <v>81</v>
      </c>
      <c r="M105" s="217">
        <v>2</v>
      </c>
      <c r="N105" s="208" t="s">
        <v>81</v>
      </c>
      <c r="O105" s="218">
        <v>4</v>
      </c>
      <c r="P105" s="208"/>
      <c r="Q105" s="240">
        <f t="shared" si="14"/>
        <v>8</v>
      </c>
      <c r="R105" s="239">
        <v>0</v>
      </c>
      <c r="S105" s="240">
        <f t="shared" si="15"/>
        <v>8</v>
      </c>
      <c r="T105" s="243" t="s">
        <v>48</v>
      </c>
      <c r="U105" s="196" t="str">
        <f t="shared" si="16"/>
        <v>8 Hrs</v>
      </c>
    </row>
    <row r="106" spans="3:21" s="185" customFormat="1" ht="20.25" customHeight="1">
      <c r="C106" s="198"/>
      <c r="D106" s="203">
        <f t="shared" si="13"/>
        <v>106</v>
      </c>
      <c r="E106" s="207" t="s">
        <v>104</v>
      </c>
      <c r="F106" s="211">
        <f t="shared" si="17"/>
        <v>105</v>
      </c>
      <c r="G106" s="206" t="s">
        <v>121</v>
      </c>
      <c r="H106" s="206"/>
      <c r="I106" s="224" t="str">
        <f>I98</f>
        <v>2"nb</v>
      </c>
      <c r="J106" s="208"/>
      <c r="K106" s="234">
        <f>K98</f>
        <v>2</v>
      </c>
      <c r="L106" s="208" t="s">
        <v>81</v>
      </c>
      <c r="M106" s="217">
        <v>2</v>
      </c>
      <c r="N106" s="208" t="s">
        <v>81</v>
      </c>
      <c r="O106" s="218">
        <v>0</v>
      </c>
      <c r="P106" s="208"/>
      <c r="Q106" s="240">
        <f t="shared" si="14"/>
        <v>0</v>
      </c>
      <c r="R106" s="239">
        <v>0</v>
      </c>
      <c r="S106" s="240"/>
      <c r="T106" s="243" t="s">
        <v>48</v>
      </c>
      <c r="U106" s="196"/>
    </row>
    <row r="107" spans="3:21" s="185" customFormat="1" ht="20.25" customHeight="1">
      <c r="C107" s="198"/>
      <c r="D107" s="203">
        <f t="shared" si="13"/>
        <v>107</v>
      </c>
      <c r="E107" s="207" t="s">
        <v>109</v>
      </c>
      <c r="F107" s="211">
        <f t="shared" si="17"/>
        <v>106</v>
      </c>
      <c r="G107" s="206" t="s">
        <v>121</v>
      </c>
      <c r="H107" s="206"/>
      <c r="I107" s="208"/>
      <c r="J107" s="208"/>
      <c r="K107" s="234">
        <f>K106+K105</f>
        <v>4</v>
      </c>
      <c r="L107" s="208" t="s">
        <v>81</v>
      </c>
      <c r="M107" s="217">
        <v>4</v>
      </c>
      <c r="N107" s="208" t="s">
        <v>81</v>
      </c>
      <c r="O107" s="218">
        <v>0</v>
      </c>
      <c r="P107" s="208"/>
      <c r="Q107" s="240">
        <f t="shared" si="14"/>
        <v>0</v>
      </c>
      <c r="R107" s="239">
        <v>0</v>
      </c>
      <c r="S107" s="240"/>
      <c r="T107" s="243" t="s">
        <v>48</v>
      </c>
      <c r="U107" s="196"/>
    </row>
    <row r="108" spans="3:21" s="185" customFormat="1" ht="20.25" customHeight="1">
      <c r="C108" s="198">
        <f>D108</f>
        <v>108</v>
      </c>
      <c r="D108" s="203">
        <f t="shared" si="13"/>
        <v>108</v>
      </c>
      <c r="E108" s="209" t="s">
        <v>128</v>
      </c>
      <c r="F108" s="210">
        <f>D104</f>
        <v>104</v>
      </c>
      <c r="G108" s="206"/>
      <c r="H108" s="206"/>
      <c r="I108" s="208"/>
      <c r="J108" s="208"/>
      <c r="K108" s="234"/>
      <c r="L108" s="208"/>
      <c r="M108" s="217"/>
      <c r="N108" s="208"/>
      <c r="O108" s="218"/>
      <c r="P108" s="208"/>
      <c r="Q108" s="240"/>
      <c r="R108" s="239"/>
      <c r="S108" s="240"/>
      <c r="T108" s="216"/>
      <c r="U108" s="196"/>
    </row>
    <row r="109" spans="3:21" s="185" customFormat="1" ht="20.25" customHeight="1">
      <c r="C109" s="198"/>
      <c r="D109" s="203">
        <f t="shared" si="13"/>
        <v>109</v>
      </c>
      <c r="E109" s="207" t="s">
        <v>125</v>
      </c>
      <c r="F109" s="211"/>
      <c r="G109" s="206" t="s">
        <v>111</v>
      </c>
      <c r="H109" s="206"/>
      <c r="I109" s="224" t="str">
        <f>I97</f>
        <v>26" nb</v>
      </c>
      <c r="J109" s="208"/>
      <c r="K109" s="234">
        <v>2</v>
      </c>
      <c r="L109" s="208" t="s">
        <v>50</v>
      </c>
      <c r="M109" s="217">
        <v>2</v>
      </c>
      <c r="N109" s="208" t="s">
        <v>50</v>
      </c>
      <c r="O109" s="218">
        <v>4</v>
      </c>
      <c r="P109" s="208" t="s">
        <v>112</v>
      </c>
      <c r="Q109" s="240">
        <f t="shared" si="14"/>
        <v>8</v>
      </c>
      <c r="R109" s="239">
        <v>1</v>
      </c>
      <c r="S109" s="240">
        <f t="shared" si="15"/>
        <v>9</v>
      </c>
      <c r="T109" s="243" t="s">
        <v>48</v>
      </c>
      <c r="U109" s="196" t="str">
        <f t="shared" si="16"/>
        <v>9 Hrs</v>
      </c>
    </row>
    <row r="110" spans="3:21" s="185" customFormat="1" ht="20.25" customHeight="1">
      <c r="C110" s="198"/>
      <c r="D110" s="203">
        <f t="shared" si="13"/>
        <v>110</v>
      </c>
      <c r="E110" s="207" t="s">
        <v>104</v>
      </c>
      <c r="F110" s="211">
        <f t="shared" si="17"/>
        <v>109</v>
      </c>
      <c r="G110" s="206" t="s">
        <v>111</v>
      </c>
      <c r="H110" s="206"/>
      <c r="I110" s="224" t="str">
        <f>I98</f>
        <v>2"nb</v>
      </c>
      <c r="J110" s="208"/>
      <c r="K110" s="234">
        <v>2</v>
      </c>
      <c r="L110" s="208" t="s">
        <v>50</v>
      </c>
      <c r="M110" s="217">
        <v>2</v>
      </c>
      <c r="N110" s="208" t="s">
        <v>50</v>
      </c>
      <c r="O110" s="218">
        <v>0</v>
      </c>
      <c r="P110" s="208" t="s">
        <v>112</v>
      </c>
      <c r="Q110" s="240">
        <f t="shared" si="14"/>
        <v>0</v>
      </c>
      <c r="R110" s="239">
        <v>1</v>
      </c>
      <c r="S110" s="240">
        <f t="shared" si="15"/>
        <v>1</v>
      </c>
      <c r="T110" s="243" t="s">
        <v>48</v>
      </c>
      <c r="U110" s="196" t="str">
        <f t="shared" si="16"/>
        <v>1 Hrs</v>
      </c>
    </row>
    <row r="111" spans="3:21" s="185" customFormat="1" ht="20.25" customHeight="1">
      <c r="C111" s="198"/>
      <c r="D111" s="203">
        <f t="shared" si="13"/>
        <v>111</v>
      </c>
      <c r="E111" s="207" t="s">
        <v>109</v>
      </c>
      <c r="F111" s="211">
        <f t="shared" si="17"/>
        <v>110</v>
      </c>
      <c r="G111" s="206" t="s">
        <v>111</v>
      </c>
      <c r="H111" s="206"/>
      <c r="I111" s="208"/>
      <c r="J111" s="208"/>
      <c r="K111" s="234">
        <v>4</v>
      </c>
      <c r="L111" s="208" t="s">
        <v>50</v>
      </c>
      <c r="M111" s="217">
        <v>4</v>
      </c>
      <c r="N111" s="208" t="s">
        <v>50</v>
      </c>
      <c r="O111" s="218">
        <v>0.25</v>
      </c>
      <c r="P111" s="208" t="s">
        <v>112</v>
      </c>
      <c r="Q111" s="240">
        <f t="shared" si="14"/>
        <v>1</v>
      </c>
      <c r="R111" s="239">
        <v>1</v>
      </c>
      <c r="S111" s="240">
        <f t="shared" si="15"/>
        <v>2</v>
      </c>
      <c r="T111" s="243" t="s">
        <v>48</v>
      </c>
      <c r="U111" s="196" t="str">
        <f t="shared" si="16"/>
        <v>2 Hrs</v>
      </c>
    </row>
    <row r="112" spans="3:21" s="185" customFormat="1" ht="20.25" customHeight="1">
      <c r="C112" s="198">
        <f>D112</f>
        <v>112</v>
      </c>
      <c r="D112" s="203">
        <f t="shared" si="13"/>
        <v>112</v>
      </c>
      <c r="E112" s="209" t="s">
        <v>129</v>
      </c>
      <c r="F112" s="210">
        <f>D108</f>
        <v>108</v>
      </c>
      <c r="G112" s="206"/>
      <c r="H112" s="206"/>
      <c r="I112" s="208"/>
      <c r="J112" s="208"/>
      <c r="K112" s="234"/>
      <c r="L112" s="208"/>
      <c r="M112" s="217"/>
      <c r="N112" s="208"/>
      <c r="O112" s="218"/>
      <c r="P112" s="208"/>
      <c r="Q112" s="240"/>
      <c r="R112" s="239"/>
      <c r="S112" s="240"/>
      <c r="T112" s="216"/>
      <c r="U112" s="196"/>
    </row>
    <row r="113" spans="3:21" s="185" customFormat="1" ht="20.25" customHeight="1">
      <c r="C113" s="198"/>
      <c r="D113" s="203">
        <f t="shared" si="13"/>
        <v>113</v>
      </c>
      <c r="E113" s="207" t="s">
        <v>125</v>
      </c>
      <c r="F113" s="211"/>
      <c r="G113" s="206" t="s">
        <v>115</v>
      </c>
      <c r="H113" s="206"/>
      <c r="I113" s="224" t="s">
        <v>116</v>
      </c>
      <c r="J113" s="234" t="s">
        <v>117</v>
      </c>
      <c r="K113" s="234">
        <v>2</v>
      </c>
      <c r="L113" s="208" t="s">
        <v>50</v>
      </c>
      <c r="M113" s="227">
        <f>LEFT(J113,SEARCH(" ",J113,1)-1)*K113*0.001</f>
        <v>6.1080000000000005</v>
      </c>
      <c r="N113" s="208" t="s">
        <v>50</v>
      </c>
      <c r="O113" s="246">
        <f>6.12</f>
        <v>6.12</v>
      </c>
      <c r="P113" s="208" t="s">
        <v>112</v>
      </c>
      <c r="Q113" s="240">
        <f>M113*O113</f>
        <v>37.380960000000002</v>
      </c>
      <c r="R113" s="239">
        <v>1</v>
      </c>
      <c r="S113" s="240">
        <f t="shared" si="15"/>
        <v>38.380000000000003</v>
      </c>
      <c r="T113" s="243" t="s">
        <v>48</v>
      </c>
      <c r="U113" s="196" t="str">
        <f t="shared" si="16"/>
        <v>38.38 Hrs</v>
      </c>
    </row>
    <row r="114" spans="3:21" s="185" customFormat="1" ht="20.25" customHeight="1">
      <c r="C114" s="198"/>
      <c r="D114" s="203">
        <f t="shared" si="13"/>
        <v>114</v>
      </c>
      <c r="E114" s="207" t="s">
        <v>104</v>
      </c>
      <c r="F114" s="211">
        <f t="shared" si="17"/>
        <v>113</v>
      </c>
      <c r="G114" s="206" t="s">
        <v>115</v>
      </c>
      <c r="H114" s="206"/>
      <c r="I114" s="224" t="str">
        <f>I102</f>
        <v>2"nb</v>
      </c>
      <c r="J114" s="234" t="s">
        <v>118</v>
      </c>
      <c r="K114" s="234">
        <v>2</v>
      </c>
      <c r="L114" s="208" t="s">
        <v>50</v>
      </c>
      <c r="M114" s="217">
        <v>0</v>
      </c>
      <c r="N114" s="208" t="s">
        <v>50</v>
      </c>
      <c r="O114" s="246"/>
      <c r="P114" s="208" t="s">
        <v>112</v>
      </c>
      <c r="Q114" s="240">
        <f t="shared" ref="Q114:Q115" si="19">M114*O114</f>
        <v>0</v>
      </c>
      <c r="R114" s="239"/>
      <c r="S114" s="240"/>
      <c r="T114" s="243" t="s">
        <v>48</v>
      </c>
      <c r="U114" s="196"/>
    </row>
    <row r="115" spans="3:21" s="185" customFormat="1" ht="20.25" customHeight="1">
      <c r="C115" s="198"/>
      <c r="D115" s="203">
        <f t="shared" si="13"/>
        <v>115</v>
      </c>
      <c r="E115" s="207" t="s">
        <v>109</v>
      </c>
      <c r="F115" s="211">
        <f t="shared" si="17"/>
        <v>114</v>
      </c>
      <c r="G115" s="206" t="s">
        <v>115</v>
      </c>
      <c r="H115" s="206"/>
      <c r="I115" s="208"/>
      <c r="J115" s="208"/>
      <c r="K115" s="234">
        <v>4</v>
      </c>
      <c r="L115" s="208" t="s">
        <v>50</v>
      </c>
      <c r="M115" s="217">
        <v>4</v>
      </c>
      <c r="N115" s="208" t="s">
        <v>50</v>
      </c>
      <c r="O115" s="218">
        <v>0.25</v>
      </c>
      <c r="P115" s="208" t="s">
        <v>112</v>
      </c>
      <c r="Q115" s="240">
        <f t="shared" si="19"/>
        <v>1</v>
      </c>
      <c r="R115" s="239">
        <v>1</v>
      </c>
      <c r="S115" s="240">
        <f t="shared" si="15"/>
        <v>2</v>
      </c>
      <c r="T115" s="243" t="s">
        <v>48</v>
      </c>
      <c r="U115" s="196" t="str">
        <f t="shared" si="16"/>
        <v>2 Hrs</v>
      </c>
    </row>
    <row r="116" spans="3:21" s="185" customFormat="1" ht="20.25" customHeight="1">
      <c r="C116" s="198">
        <f>D116</f>
        <v>116</v>
      </c>
      <c r="D116" s="203">
        <f t="shared" si="13"/>
        <v>116</v>
      </c>
      <c r="E116" s="209" t="s">
        <v>130</v>
      </c>
      <c r="F116" s="210">
        <f>D112</f>
        <v>112</v>
      </c>
      <c r="G116" s="206"/>
      <c r="H116" s="206"/>
      <c r="I116" s="208"/>
      <c r="J116" s="208"/>
      <c r="K116" s="234"/>
      <c r="L116" s="208"/>
      <c r="M116" s="217"/>
      <c r="N116" s="208"/>
      <c r="O116" s="218"/>
      <c r="P116" s="208"/>
      <c r="Q116" s="240"/>
      <c r="R116" s="239"/>
      <c r="S116" s="240"/>
      <c r="T116" s="216"/>
      <c r="U116" s="196"/>
    </row>
    <row r="117" spans="3:21" s="185" customFormat="1" ht="20.25" customHeight="1">
      <c r="C117" s="198"/>
      <c r="D117" s="203">
        <f t="shared" si="13"/>
        <v>117</v>
      </c>
      <c r="E117" s="207" t="s">
        <v>125</v>
      </c>
      <c r="F117" s="211"/>
      <c r="G117" s="206" t="s">
        <v>44</v>
      </c>
      <c r="H117" s="206"/>
      <c r="I117" s="224" t="str">
        <f>I105</f>
        <v>26" nb</v>
      </c>
      <c r="J117" s="208"/>
      <c r="K117" s="234">
        <v>2</v>
      </c>
      <c r="L117" s="208" t="s">
        <v>50</v>
      </c>
      <c r="M117" s="217">
        <v>1</v>
      </c>
      <c r="N117" s="208" t="s">
        <v>50</v>
      </c>
      <c r="O117" s="246">
        <v>4</v>
      </c>
      <c r="P117" s="208" t="s">
        <v>112</v>
      </c>
      <c r="Q117" s="240">
        <f t="shared" si="14"/>
        <v>4</v>
      </c>
      <c r="R117" s="239">
        <v>1</v>
      </c>
      <c r="S117" s="240">
        <f t="shared" si="15"/>
        <v>5</v>
      </c>
      <c r="T117" s="243" t="s">
        <v>48</v>
      </c>
      <c r="U117" s="196" t="str">
        <f t="shared" si="16"/>
        <v>5 Hrs</v>
      </c>
    </row>
    <row r="118" spans="3:21" s="185" customFormat="1" ht="20.25" customHeight="1">
      <c r="C118" s="198"/>
      <c r="D118" s="203">
        <f t="shared" si="13"/>
        <v>118</v>
      </c>
      <c r="E118" s="207" t="s">
        <v>104</v>
      </c>
      <c r="F118" s="211">
        <f t="shared" si="17"/>
        <v>117</v>
      </c>
      <c r="G118" s="206" t="s">
        <v>44</v>
      </c>
      <c r="H118" s="206"/>
      <c r="I118" s="224" t="str">
        <f>I106</f>
        <v>2"nb</v>
      </c>
      <c r="J118" s="208"/>
      <c r="K118" s="234">
        <v>2</v>
      </c>
      <c r="L118" s="208" t="s">
        <v>50</v>
      </c>
      <c r="M118" s="217">
        <v>1</v>
      </c>
      <c r="N118" s="208" t="s">
        <v>50</v>
      </c>
      <c r="O118" s="246">
        <v>1</v>
      </c>
      <c r="P118" s="208" t="s">
        <v>112</v>
      </c>
      <c r="Q118" s="240">
        <f t="shared" si="14"/>
        <v>1</v>
      </c>
      <c r="R118" s="239">
        <v>1</v>
      </c>
      <c r="S118" s="240">
        <f t="shared" si="15"/>
        <v>2</v>
      </c>
      <c r="T118" s="243" t="s">
        <v>48</v>
      </c>
      <c r="U118" s="196" t="str">
        <f t="shared" si="16"/>
        <v>2 Hrs</v>
      </c>
    </row>
    <row r="119" spans="3:21" s="185" customFormat="1" ht="20.25" customHeight="1">
      <c r="C119" s="198"/>
      <c r="D119" s="203">
        <f t="shared" si="13"/>
        <v>119</v>
      </c>
      <c r="E119" s="207" t="s">
        <v>109</v>
      </c>
      <c r="F119" s="211">
        <f t="shared" si="17"/>
        <v>118</v>
      </c>
      <c r="G119" s="206" t="s">
        <v>44</v>
      </c>
      <c r="H119" s="206"/>
      <c r="I119" s="208"/>
      <c r="J119" s="208"/>
      <c r="K119" s="234">
        <v>4</v>
      </c>
      <c r="L119" s="208" t="s">
        <v>50</v>
      </c>
      <c r="M119" s="217">
        <v>1</v>
      </c>
      <c r="N119" s="208" t="s">
        <v>50</v>
      </c>
      <c r="O119" s="218">
        <v>1</v>
      </c>
      <c r="P119" s="208" t="s">
        <v>112</v>
      </c>
      <c r="Q119" s="240">
        <f t="shared" si="14"/>
        <v>1</v>
      </c>
      <c r="R119" s="239">
        <v>1</v>
      </c>
      <c r="S119" s="240">
        <f t="shared" si="15"/>
        <v>2</v>
      </c>
      <c r="T119" s="243" t="s">
        <v>48</v>
      </c>
      <c r="U119" s="196" t="str">
        <f t="shared" si="16"/>
        <v>2 Hrs</v>
      </c>
    </row>
    <row r="120" spans="3:21" s="185" customFormat="1" ht="20.25" customHeight="1">
      <c r="C120" s="198">
        <f>D120</f>
        <v>120</v>
      </c>
      <c r="D120" s="203">
        <f t="shared" si="13"/>
        <v>120</v>
      </c>
      <c r="E120" s="209" t="s">
        <v>131</v>
      </c>
      <c r="F120" s="210">
        <f>D116</f>
        <v>116</v>
      </c>
      <c r="G120" s="206"/>
      <c r="H120" s="206"/>
      <c r="I120" s="208"/>
      <c r="J120" s="208"/>
      <c r="K120" s="234"/>
      <c r="L120" s="208"/>
      <c r="M120" s="217"/>
      <c r="N120" s="208"/>
      <c r="O120" s="218"/>
      <c r="P120" s="208"/>
      <c r="Q120" s="240"/>
      <c r="R120" s="239"/>
      <c r="S120" s="240"/>
      <c r="T120" s="216"/>
      <c r="U120" s="196"/>
    </row>
    <row r="121" spans="3:21" s="185" customFormat="1" ht="20.25" customHeight="1">
      <c r="C121" s="198"/>
      <c r="D121" s="203">
        <f t="shared" si="13"/>
        <v>121</v>
      </c>
      <c r="E121" s="207" t="s">
        <v>125</v>
      </c>
      <c r="F121" s="211"/>
      <c r="G121" s="206" t="s">
        <v>44</v>
      </c>
      <c r="H121" s="206"/>
      <c r="I121" s="224" t="str">
        <f>I109</f>
        <v>26" nb</v>
      </c>
      <c r="J121" s="208"/>
      <c r="K121" s="234">
        <v>2</v>
      </c>
      <c r="L121" s="208" t="s">
        <v>50</v>
      </c>
      <c r="M121" s="217">
        <v>0</v>
      </c>
      <c r="N121" s="208" t="s">
        <v>50</v>
      </c>
      <c r="O121" s="246"/>
      <c r="P121" s="208" t="s">
        <v>112</v>
      </c>
      <c r="Q121" s="240">
        <f t="shared" ref="Q121:Q123" si="20">M121*O121</f>
        <v>0</v>
      </c>
      <c r="R121" s="239">
        <v>1</v>
      </c>
      <c r="S121" s="240">
        <f t="shared" si="15"/>
        <v>1</v>
      </c>
      <c r="T121" s="243" t="s">
        <v>48</v>
      </c>
      <c r="U121" s="196" t="str">
        <f t="shared" si="16"/>
        <v>1 Hrs</v>
      </c>
    </row>
    <row r="122" spans="3:21" s="185" customFormat="1" ht="20.25" customHeight="1">
      <c r="C122" s="198"/>
      <c r="D122" s="203">
        <f t="shared" si="13"/>
        <v>122</v>
      </c>
      <c r="E122" s="207" t="s">
        <v>104</v>
      </c>
      <c r="F122" s="211">
        <f t="shared" si="17"/>
        <v>121</v>
      </c>
      <c r="G122" s="206" t="s">
        <v>44</v>
      </c>
      <c r="H122" s="206"/>
      <c r="I122" s="224" t="str">
        <f>I110</f>
        <v>2"nb</v>
      </c>
      <c r="J122" s="208"/>
      <c r="K122" s="234">
        <v>2</v>
      </c>
      <c r="L122" s="208" t="s">
        <v>50</v>
      </c>
      <c r="M122" s="217">
        <v>0</v>
      </c>
      <c r="N122" s="208" t="s">
        <v>50</v>
      </c>
      <c r="O122" s="246"/>
      <c r="P122" s="208" t="s">
        <v>112</v>
      </c>
      <c r="Q122" s="240">
        <f t="shared" si="20"/>
        <v>0</v>
      </c>
      <c r="R122" s="239">
        <v>1</v>
      </c>
      <c r="S122" s="240">
        <f t="shared" si="15"/>
        <v>1</v>
      </c>
      <c r="T122" s="243" t="s">
        <v>48</v>
      </c>
      <c r="U122" s="196" t="str">
        <f t="shared" si="16"/>
        <v>1 Hrs</v>
      </c>
    </row>
    <row r="123" spans="3:21" s="185" customFormat="1" ht="20.25" customHeight="1">
      <c r="C123" s="198"/>
      <c r="D123" s="203">
        <f t="shared" si="13"/>
        <v>123</v>
      </c>
      <c r="E123" s="207" t="s">
        <v>109</v>
      </c>
      <c r="F123" s="211">
        <f t="shared" si="17"/>
        <v>122</v>
      </c>
      <c r="G123" s="206" t="s">
        <v>44</v>
      </c>
      <c r="H123" s="206"/>
      <c r="I123" s="208"/>
      <c r="J123" s="208"/>
      <c r="K123" s="234">
        <v>4</v>
      </c>
      <c r="L123" s="208" t="s">
        <v>50</v>
      </c>
      <c r="M123" s="217">
        <v>0</v>
      </c>
      <c r="N123" s="208" t="s">
        <v>50</v>
      </c>
      <c r="O123" s="218"/>
      <c r="P123" s="208" t="s">
        <v>112</v>
      </c>
      <c r="Q123" s="240">
        <f t="shared" si="20"/>
        <v>0</v>
      </c>
      <c r="R123" s="239">
        <v>1</v>
      </c>
      <c r="S123" s="240">
        <f t="shared" si="15"/>
        <v>1</v>
      </c>
      <c r="T123" s="243" t="s">
        <v>48</v>
      </c>
      <c r="U123" s="196" t="str">
        <f t="shared" si="16"/>
        <v>1 Hrs</v>
      </c>
    </row>
    <row r="124" spans="3:21" s="185" customFormat="1" ht="20.25" customHeight="1">
      <c r="C124" s="198">
        <f>D124</f>
        <v>124</v>
      </c>
      <c r="D124" s="203">
        <f t="shared" si="13"/>
        <v>124</v>
      </c>
      <c r="E124" s="209" t="s">
        <v>132</v>
      </c>
      <c r="F124" s="210">
        <f>D120</f>
        <v>120</v>
      </c>
      <c r="G124" s="206"/>
      <c r="H124" s="206"/>
      <c r="I124" s="208"/>
      <c r="J124" s="208"/>
      <c r="K124" s="234"/>
      <c r="L124" s="208"/>
      <c r="M124" s="217"/>
      <c r="N124" s="208"/>
      <c r="O124" s="218"/>
      <c r="P124" s="208"/>
      <c r="Q124" s="240"/>
      <c r="R124" s="239"/>
      <c r="S124" s="240"/>
      <c r="T124" s="216"/>
      <c r="U124" s="196"/>
    </row>
    <row r="125" spans="3:21" s="185" customFormat="1" ht="20.25" customHeight="1">
      <c r="C125" s="198"/>
      <c r="D125" s="203">
        <f t="shared" si="13"/>
        <v>125</v>
      </c>
      <c r="E125" s="207" t="s">
        <v>125</v>
      </c>
      <c r="F125" s="211"/>
      <c r="G125" s="206" t="s">
        <v>121</v>
      </c>
      <c r="H125" s="206"/>
      <c r="I125" s="224" t="s">
        <v>123</v>
      </c>
      <c r="J125" s="208" t="str">
        <f>J113</f>
        <v>3054 mm</v>
      </c>
      <c r="K125" s="234">
        <v>2</v>
      </c>
      <c r="L125" s="208" t="s">
        <v>50</v>
      </c>
      <c r="M125" s="227">
        <f>LEFT(J125,SEARCH(" ",J125,1)-1)*K125*0.001</f>
        <v>6.1080000000000005</v>
      </c>
      <c r="N125" s="208" t="s">
        <v>50</v>
      </c>
      <c r="O125" s="246">
        <v>1</v>
      </c>
      <c r="P125" s="208" t="s">
        <v>112</v>
      </c>
      <c r="Q125" s="240">
        <f t="shared" ref="Q125:Q127" si="21">M125*O125</f>
        <v>6.1080000000000005</v>
      </c>
      <c r="R125" s="239">
        <v>1</v>
      </c>
      <c r="S125" s="240">
        <f t="shared" si="15"/>
        <v>7.11</v>
      </c>
      <c r="T125" s="243" t="s">
        <v>48</v>
      </c>
      <c r="U125" s="196" t="str">
        <f t="shared" si="16"/>
        <v>7.11 Hrs</v>
      </c>
    </row>
    <row r="126" spans="3:21" s="185" customFormat="1" ht="20.25" customHeight="1">
      <c r="C126" s="198"/>
      <c r="D126" s="203">
        <f t="shared" si="13"/>
        <v>126</v>
      </c>
      <c r="E126" s="207" t="s">
        <v>104</v>
      </c>
      <c r="F126" s="211">
        <f t="shared" si="17"/>
        <v>125</v>
      </c>
      <c r="G126" s="206" t="s">
        <v>121</v>
      </c>
      <c r="H126" s="206"/>
      <c r="I126" s="224">
        <v>18</v>
      </c>
      <c r="J126" s="211" t="str">
        <f>J114</f>
        <v>272 MM</v>
      </c>
      <c r="K126" s="234">
        <v>2</v>
      </c>
      <c r="L126" s="208" t="s">
        <v>50</v>
      </c>
      <c r="M126" s="227">
        <f>LEFT(J126,SEARCH(" ",J126,1)-1)*K126*0.001</f>
        <v>0.54400000000000004</v>
      </c>
      <c r="N126" s="208" t="s">
        <v>50</v>
      </c>
      <c r="O126" s="246">
        <v>0.5</v>
      </c>
      <c r="P126" s="208" t="s">
        <v>112</v>
      </c>
      <c r="Q126" s="240">
        <f t="shared" si="21"/>
        <v>0.27200000000000002</v>
      </c>
      <c r="R126" s="239">
        <v>1</v>
      </c>
      <c r="S126" s="240">
        <f t="shared" si="15"/>
        <v>1.27</v>
      </c>
      <c r="T126" s="243" t="s">
        <v>48</v>
      </c>
      <c r="U126" s="196" t="str">
        <f t="shared" si="16"/>
        <v>1.27 Hrs</v>
      </c>
    </row>
    <row r="127" spans="3:21" s="185" customFormat="1" ht="20.25" customHeight="1">
      <c r="C127" s="198"/>
      <c r="D127" s="203">
        <f t="shared" si="13"/>
        <v>127</v>
      </c>
      <c r="E127" s="207" t="s">
        <v>109</v>
      </c>
      <c r="F127" s="211">
        <f t="shared" si="17"/>
        <v>126</v>
      </c>
      <c r="G127" s="206" t="s">
        <v>121</v>
      </c>
      <c r="H127" s="206"/>
      <c r="I127" s="208"/>
      <c r="J127" s="208"/>
      <c r="K127" s="234">
        <v>4</v>
      </c>
      <c r="L127" s="208" t="s">
        <v>50</v>
      </c>
      <c r="M127" s="217">
        <v>1</v>
      </c>
      <c r="N127" s="208" t="s">
        <v>50</v>
      </c>
      <c r="O127" s="218">
        <v>1</v>
      </c>
      <c r="P127" s="208" t="s">
        <v>112</v>
      </c>
      <c r="Q127" s="240">
        <f t="shared" si="21"/>
        <v>1</v>
      </c>
      <c r="R127" s="239">
        <v>1</v>
      </c>
      <c r="S127" s="240">
        <f t="shared" si="15"/>
        <v>2</v>
      </c>
      <c r="T127" s="243" t="s">
        <v>48</v>
      </c>
      <c r="U127" s="196" t="str">
        <f t="shared" si="16"/>
        <v>2 Hrs</v>
      </c>
    </row>
    <row r="128" spans="3:21" s="185" customFormat="1" ht="20.25" customHeight="1">
      <c r="C128" s="198">
        <f t="shared" ref="C128:C129" si="22">D128</f>
        <v>128</v>
      </c>
      <c r="D128" s="203">
        <f t="shared" si="13"/>
        <v>128</v>
      </c>
      <c r="E128" s="212" t="s">
        <v>133</v>
      </c>
      <c r="F128" s="210"/>
      <c r="G128" s="206"/>
      <c r="H128" s="206"/>
      <c r="I128" s="208"/>
      <c r="J128" s="208"/>
      <c r="K128" s="234"/>
      <c r="L128" s="208"/>
      <c r="M128" s="217"/>
      <c r="N128" s="208"/>
      <c r="O128" s="218"/>
      <c r="P128" s="208"/>
      <c r="Q128" s="240"/>
      <c r="R128" s="239"/>
      <c r="S128" s="240"/>
      <c r="T128" s="216"/>
      <c r="U128" s="196"/>
    </row>
    <row r="129" spans="3:21" s="185" customFormat="1" ht="20.25" customHeight="1">
      <c r="C129" s="198">
        <f t="shared" si="22"/>
        <v>129</v>
      </c>
      <c r="D129" s="203">
        <f t="shared" si="13"/>
        <v>129</v>
      </c>
      <c r="E129" s="204" t="s">
        <v>134</v>
      </c>
      <c r="F129" s="210">
        <f>D128</f>
        <v>128</v>
      </c>
      <c r="G129" s="206"/>
      <c r="H129" s="206"/>
      <c r="I129" s="208"/>
      <c r="J129" s="208"/>
      <c r="K129" s="234"/>
      <c r="L129" s="208"/>
      <c r="M129" s="217"/>
      <c r="N129" s="208"/>
      <c r="O129" s="218"/>
      <c r="P129" s="208"/>
      <c r="Q129" s="240"/>
      <c r="R129" s="239"/>
      <c r="S129" s="240"/>
      <c r="T129" s="216"/>
      <c r="U129" s="196"/>
    </row>
    <row r="130" spans="3:21" s="185" customFormat="1" ht="20.25" customHeight="1">
      <c r="C130" s="198"/>
      <c r="D130" s="203">
        <f t="shared" si="13"/>
        <v>130</v>
      </c>
      <c r="E130" s="207" t="s">
        <v>135</v>
      </c>
      <c r="F130" s="211"/>
      <c r="G130" s="206"/>
      <c r="H130" s="206"/>
      <c r="I130" s="208"/>
      <c r="J130" s="208"/>
      <c r="K130" s="234">
        <v>1</v>
      </c>
      <c r="L130" s="208" t="s">
        <v>84</v>
      </c>
      <c r="M130" s="217">
        <v>1</v>
      </c>
      <c r="N130" s="208" t="s">
        <v>84</v>
      </c>
      <c r="O130" s="218">
        <v>4</v>
      </c>
      <c r="P130" s="208" t="s">
        <v>41</v>
      </c>
      <c r="Q130" s="240">
        <f t="shared" ref="Q130" si="23">M130*O130</f>
        <v>4</v>
      </c>
      <c r="R130" s="239">
        <v>0</v>
      </c>
      <c r="S130" s="240">
        <f t="shared" si="15"/>
        <v>4</v>
      </c>
      <c r="T130" s="216" t="s">
        <v>42</v>
      </c>
      <c r="U130" s="196" t="str">
        <f t="shared" si="16"/>
        <v>4 Days</v>
      </c>
    </row>
    <row r="131" spans="3:21" s="185" customFormat="1" ht="20.25" customHeight="1">
      <c r="C131" s="198"/>
      <c r="D131" s="203">
        <f t="shared" ref="D131:D194" si="24">D130+1</f>
        <v>131</v>
      </c>
      <c r="E131" s="207" t="s">
        <v>136</v>
      </c>
      <c r="F131" s="211">
        <f t="shared" si="17"/>
        <v>130</v>
      </c>
      <c r="G131" s="206" t="s">
        <v>44</v>
      </c>
      <c r="H131" s="206"/>
      <c r="I131" s="224" t="s">
        <v>137</v>
      </c>
      <c r="J131" s="234" t="s">
        <v>138</v>
      </c>
      <c r="K131" s="234">
        <v>1</v>
      </c>
      <c r="L131" s="208" t="s">
        <v>84</v>
      </c>
      <c r="M131" s="227">
        <f>LEFT(J131,SEARCH(" ",J131,1)-1)*K131</f>
        <v>9</v>
      </c>
      <c r="N131" s="208" t="s">
        <v>139</v>
      </c>
      <c r="O131" s="246">
        <v>0.25</v>
      </c>
      <c r="P131" s="208" t="s">
        <v>112</v>
      </c>
      <c r="Q131" s="240">
        <f t="shared" si="14"/>
        <v>2.25</v>
      </c>
      <c r="R131" s="239">
        <v>1</v>
      </c>
      <c r="S131" s="240">
        <f t="shared" si="15"/>
        <v>3.25</v>
      </c>
      <c r="T131" s="243" t="s">
        <v>48</v>
      </c>
      <c r="U131" s="196" t="str">
        <f t="shared" si="16"/>
        <v>3.25 Hrs</v>
      </c>
    </row>
    <row r="132" spans="3:21" s="185" customFormat="1" ht="20.25" customHeight="1">
      <c r="C132" s="198"/>
      <c r="D132" s="203">
        <f t="shared" si="24"/>
        <v>132</v>
      </c>
      <c r="E132" s="207" t="s">
        <v>140</v>
      </c>
      <c r="F132" s="211">
        <f t="shared" si="17"/>
        <v>131</v>
      </c>
      <c r="G132" s="206" t="s">
        <v>44</v>
      </c>
      <c r="H132" s="206"/>
      <c r="I132" s="224" t="str">
        <f>I131</f>
        <v>30/25</v>
      </c>
      <c r="J132" s="234" t="s">
        <v>141</v>
      </c>
      <c r="K132" s="225">
        <v>1</v>
      </c>
      <c r="L132" s="208" t="s">
        <v>84</v>
      </c>
      <c r="M132" s="227">
        <f t="shared" ref="M132:M133" si="25">LEFT(J132,SEARCH(" ",J132,1)-1)*K132</f>
        <v>29</v>
      </c>
      <c r="N132" s="208" t="s">
        <v>139</v>
      </c>
      <c r="O132" s="246">
        <v>0.25</v>
      </c>
      <c r="P132" s="208" t="s">
        <v>112</v>
      </c>
      <c r="Q132" s="240">
        <f t="shared" si="14"/>
        <v>7.25</v>
      </c>
      <c r="R132" s="239">
        <v>1</v>
      </c>
      <c r="S132" s="240">
        <f t="shared" si="15"/>
        <v>8.25</v>
      </c>
      <c r="T132" s="243" t="s">
        <v>48</v>
      </c>
      <c r="U132" s="196" t="str">
        <f t="shared" si="16"/>
        <v>8.25 Hrs</v>
      </c>
    </row>
    <row r="133" spans="3:21" s="185" customFormat="1" ht="20.25" customHeight="1">
      <c r="C133" s="198"/>
      <c r="D133" s="203">
        <f t="shared" si="24"/>
        <v>133</v>
      </c>
      <c r="E133" s="207" t="s">
        <v>142</v>
      </c>
      <c r="F133" s="211">
        <f t="shared" si="17"/>
        <v>132</v>
      </c>
      <c r="G133" s="206" t="s">
        <v>44</v>
      </c>
      <c r="H133" s="206"/>
      <c r="I133" s="224">
        <v>25</v>
      </c>
      <c r="J133" s="234" t="s">
        <v>143</v>
      </c>
      <c r="K133" s="234">
        <v>1</v>
      </c>
      <c r="L133" s="208" t="s">
        <v>84</v>
      </c>
      <c r="M133" s="227">
        <f t="shared" si="25"/>
        <v>10.5</v>
      </c>
      <c r="N133" s="208" t="s">
        <v>139</v>
      </c>
      <c r="O133" s="246">
        <v>0.25</v>
      </c>
      <c r="P133" s="208" t="s">
        <v>112</v>
      </c>
      <c r="Q133" s="240">
        <f t="shared" si="14"/>
        <v>2.625</v>
      </c>
      <c r="R133" s="239">
        <v>1</v>
      </c>
      <c r="S133" s="240">
        <f t="shared" si="15"/>
        <v>3.63</v>
      </c>
      <c r="T133" s="243" t="s">
        <v>48</v>
      </c>
      <c r="U133" s="196" t="str">
        <f t="shared" si="16"/>
        <v>3.63 Hrs</v>
      </c>
    </row>
    <row r="134" spans="3:21" s="185" customFormat="1" ht="20.25" customHeight="1">
      <c r="C134" s="198">
        <f>D134</f>
        <v>134</v>
      </c>
      <c r="D134" s="203">
        <f t="shared" si="24"/>
        <v>134</v>
      </c>
      <c r="E134" s="204" t="s">
        <v>144</v>
      </c>
      <c r="F134" s="210">
        <f>D129</f>
        <v>129</v>
      </c>
      <c r="G134" s="206"/>
      <c r="H134" s="206"/>
      <c r="I134" s="208"/>
      <c r="J134" s="208"/>
      <c r="K134" s="234"/>
      <c r="L134" s="208"/>
      <c r="M134" s="217"/>
      <c r="N134" s="208"/>
      <c r="O134" s="218"/>
      <c r="P134" s="208"/>
      <c r="Q134" s="240"/>
      <c r="R134" s="239"/>
      <c r="S134" s="240"/>
      <c r="T134" s="216"/>
      <c r="U134" s="196"/>
    </row>
    <row r="135" spans="3:21" s="185" customFormat="1" ht="20.25" customHeight="1">
      <c r="C135" s="198"/>
      <c r="D135" s="203">
        <f t="shared" si="24"/>
        <v>135</v>
      </c>
      <c r="E135" s="207" t="s">
        <v>145</v>
      </c>
      <c r="F135" s="211"/>
      <c r="G135" s="206" t="s">
        <v>52</v>
      </c>
      <c r="H135" s="206"/>
      <c r="I135" s="233" t="str">
        <f t="shared" ref="I135:K137" si="26">I131</f>
        <v>30/25</v>
      </c>
      <c r="J135" s="211" t="str">
        <f>J131</f>
        <v>9 rmt</v>
      </c>
      <c r="K135" s="225">
        <f t="shared" si="26"/>
        <v>1</v>
      </c>
      <c r="L135" s="208" t="s">
        <v>81</v>
      </c>
      <c r="M135" s="227">
        <f t="shared" ref="M135:M137" si="27">LEFT(J135,SEARCH(" ",J135,1)-1)*K135</f>
        <v>9</v>
      </c>
      <c r="N135" s="208" t="s">
        <v>139</v>
      </c>
      <c r="O135" s="246">
        <v>0.5</v>
      </c>
      <c r="P135" s="208" t="s">
        <v>112</v>
      </c>
      <c r="Q135" s="240">
        <f t="shared" si="14"/>
        <v>4.5</v>
      </c>
      <c r="R135" s="239">
        <v>1</v>
      </c>
      <c r="S135" s="240">
        <f t="shared" si="15"/>
        <v>5.5</v>
      </c>
      <c r="T135" s="216" t="s">
        <v>48</v>
      </c>
      <c r="U135" s="196" t="str">
        <f t="shared" si="16"/>
        <v>5.5 Hrs</v>
      </c>
    </row>
    <row r="136" spans="3:21" s="185" customFormat="1" ht="20.25" customHeight="1">
      <c r="C136" s="198"/>
      <c r="D136" s="203">
        <f t="shared" si="24"/>
        <v>136</v>
      </c>
      <c r="E136" s="207" t="s">
        <v>146</v>
      </c>
      <c r="F136" s="211">
        <f t="shared" si="17"/>
        <v>135</v>
      </c>
      <c r="G136" s="206" t="s">
        <v>52</v>
      </c>
      <c r="H136" s="206"/>
      <c r="I136" s="233" t="str">
        <f t="shared" si="26"/>
        <v>30/25</v>
      </c>
      <c r="J136" s="211" t="str">
        <f>J132</f>
        <v>29 rmt</v>
      </c>
      <c r="K136" s="225">
        <f t="shared" si="26"/>
        <v>1</v>
      </c>
      <c r="L136" s="208" t="s">
        <v>81</v>
      </c>
      <c r="M136" s="227">
        <f t="shared" si="27"/>
        <v>29</v>
      </c>
      <c r="N136" s="208" t="s">
        <v>139</v>
      </c>
      <c r="O136" s="246">
        <v>0.5</v>
      </c>
      <c r="P136" s="208" t="s">
        <v>112</v>
      </c>
      <c r="Q136" s="240">
        <f t="shared" si="14"/>
        <v>14.5</v>
      </c>
      <c r="R136" s="239">
        <v>1</v>
      </c>
      <c r="S136" s="240">
        <f t="shared" si="15"/>
        <v>15.5</v>
      </c>
      <c r="T136" s="216" t="s">
        <v>48</v>
      </c>
      <c r="U136" s="196" t="str">
        <f t="shared" si="16"/>
        <v>15.5 Hrs</v>
      </c>
    </row>
    <row r="137" spans="3:21" s="185" customFormat="1" ht="20.25" customHeight="1">
      <c r="C137" s="198"/>
      <c r="D137" s="203">
        <f t="shared" si="24"/>
        <v>137</v>
      </c>
      <c r="E137" s="207" t="s">
        <v>147</v>
      </c>
      <c r="F137" s="211">
        <f t="shared" si="17"/>
        <v>136</v>
      </c>
      <c r="G137" s="206" t="s">
        <v>52</v>
      </c>
      <c r="H137" s="206"/>
      <c r="I137" s="233">
        <f t="shared" si="26"/>
        <v>25</v>
      </c>
      <c r="J137" s="211" t="str">
        <f>J133</f>
        <v>10.5 Rmt</v>
      </c>
      <c r="K137" s="225">
        <f t="shared" si="26"/>
        <v>1</v>
      </c>
      <c r="L137" s="208" t="s">
        <v>81</v>
      </c>
      <c r="M137" s="227">
        <f t="shared" si="27"/>
        <v>10.5</v>
      </c>
      <c r="N137" s="208" t="s">
        <v>139</v>
      </c>
      <c r="O137" s="246">
        <f>VLOOKUP(I137,BM!$A$2:$X$104,3,FALSE)</f>
        <v>0.25</v>
      </c>
      <c r="P137" s="208" t="s">
        <v>112</v>
      </c>
      <c r="Q137" s="240">
        <f t="shared" si="14"/>
        <v>2.625</v>
      </c>
      <c r="R137" s="239">
        <v>1</v>
      </c>
      <c r="S137" s="240">
        <f t="shared" si="15"/>
        <v>3.63</v>
      </c>
      <c r="T137" s="216" t="s">
        <v>48</v>
      </c>
      <c r="U137" s="196" t="str">
        <f t="shared" si="16"/>
        <v>3.63 Hrs</v>
      </c>
    </row>
    <row r="138" spans="3:21" s="185" customFormat="1" ht="20.25" customHeight="1">
      <c r="C138" s="198"/>
      <c r="D138" s="203">
        <f t="shared" si="24"/>
        <v>138</v>
      </c>
      <c r="E138" s="207" t="s">
        <v>148</v>
      </c>
      <c r="F138" s="211">
        <f t="shared" si="17"/>
        <v>137</v>
      </c>
      <c r="G138" s="206" t="s">
        <v>149</v>
      </c>
      <c r="H138" s="206"/>
      <c r="I138" s="224">
        <v>25</v>
      </c>
      <c r="J138" s="208"/>
      <c r="K138" s="234"/>
      <c r="L138" s="208"/>
      <c r="M138" s="235">
        <f>M135+M136+M137</f>
        <v>48.5</v>
      </c>
      <c r="N138" s="208" t="s">
        <v>139</v>
      </c>
      <c r="O138" s="246">
        <f>VLOOKUP(I138,BM!$A$2:$X$104,4,FALSE)</f>
        <v>0.15</v>
      </c>
      <c r="P138" s="208" t="s">
        <v>112</v>
      </c>
      <c r="Q138" s="240">
        <f t="shared" si="14"/>
        <v>7.2749999999999995</v>
      </c>
      <c r="R138" s="239">
        <v>1</v>
      </c>
      <c r="S138" s="240">
        <f t="shared" si="15"/>
        <v>8.2799999999999994</v>
      </c>
      <c r="T138" s="216" t="s">
        <v>48</v>
      </c>
      <c r="U138" s="196" t="str">
        <f t="shared" si="16"/>
        <v>8.28 Hrs</v>
      </c>
    </row>
    <row r="139" spans="3:21" s="185" customFormat="1" ht="20.25" customHeight="1">
      <c r="C139" s="198">
        <f>D139</f>
        <v>139</v>
      </c>
      <c r="D139" s="203">
        <f t="shared" si="24"/>
        <v>139</v>
      </c>
      <c r="E139" s="204" t="s">
        <v>150</v>
      </c>
      <c r="F139" s="210">
        <f>D134</f>
        <v>134</v>
      </c>
      <c r="G139" s="206"/>
      <c r="H139" s="206"/>
      <c r="I139" s="208"/>
      <c r="J139" s="208"/>
      <c r="K139" s="234"/>
      <c r="L139" s="208"/>
      <c r="M139" s="217"/>
      <c r="N139" s="208"/>
      <c r="O139" s="218"/>
      <c r="P139" s="208"/>
      <c r="Q139" s="240"/>
      <c r="R139" s="239"/>
      <c r="S139" s="240"/>
      <c r="T139" s="216"/>
      <c r="U139" s="196"/>
    </row>
    <row r="140" spans="3:21" s="185" customFormat="1" ht="20.25" customHeight="1">
      <c r="C140" s="198"/>
      <c r="D140" s="203">
        <f t="shared" si="24"/>
        <v>140</v>
      </c>
      <c r="E140" s="207" t="s">
        <v>151</v>
      </c>
      <c r="F140" s="211"/>
      <c r="G140" s="206" t="s">
        <v>152</v>
      </c>
      <c r="H140" s="206"/>
      <c r="I140" s="208"/>
      <c r="J140" s="208"/>
      <c r="K140" s="234">
        <v>1</v>
      </c>
      <c r="L140" s="208" t="s">
        <v>84</v>
      </c>
      <c r="M140" s="217">
        <v>1</v>
      </c>
      <c r="N140" s="208" t="s">
        <v>39</v>
      </c>
      <c r="O140" s="218">
        <v>8</v>
      </c>
      <c r="P140" s="208" t="s">
        <v>112</v>
      </c>
      <c r="Q140" s="240">
        <f t="shared" si="14"/>
        <v>8</v>
      </c>
      <c r="R140" s="239">
        <v>1</v>
      </c>
      <c r="S140" s="240">
        <f t="shared" si="15"/>
        <v>9</v>
      </c>
      <c r="T140" s="216" t="s">
        <v>48</v>
      </c>
      <c r="U140" s="196" t="str">
        <f t="shared" si="16"/>
        <v>9 Hrs</v>
      </c>
    </row>
    <row r="141" spans="3:21" s="185" customFormat="1" ht="20.25" customHeight="1">
      <c r="C141" s="198"/>
      <c r="D141" s="203">
        <f t="shared" si="24"/>
        <v>141</v>
      </c>
      <c r="E141" s="207" t="s">
        <v>153</v>
      </c>
      <c r="F141" s="211">
        <f t="shared" si="17"/>
        <v>140</v>
      </c>
      <c r="G141" s="206" t="s">
        <v>115</v>
      </c>
      <c r="H141" s="206"/>
      <c r="I141" s="224">
        <v>18</v>
      </c>
      <c r="J141" s="234"/>
      <c r="K141" s="234">
        <v>1</v>
      </c>
      <c r="L141" s="208" t="s">
        <v>84</v>
      </c>
      <c r="M141" s="235">
        <v>4</v>
      </c>
      <c r="N141" s="208" t="s">
        <v>39</v>
      </c>
      <c r="O141" s="229">
        <f>VLOOKUP(I141,BM!$A$2:$X$104,22,FALSE)</f>
        <v>3.4</v>
      </c>
      <c r="P141" s="208" t="s">
        <v>112</v>
      </c>
      <c r="Q141" s="240">
        <f t="shared" si="14"/>
        <v>13.6</v>
      </c>
      <c r="R141" s="239">
        <v>1</v>
      </c>
      <c r="S141" s="240">
        <f t="shared" si="15"/>
        <v>14.6</v>
      </c>
      <c r="T141" s="216" t="s">
        <v>48</v>
      </c>
      <c r="U141" s="196" t="str">
        <f t="shared" si="16"/>
        <v>14.6 Hrs</v>
      </c>
    </row>
    <row r="142" spans="3:21" s="185" customFormat="1" ht="20.25" customHeight="1">
      <c r="C142" s="198"/>
      <c r="D142" s="203">
        <f t="shared" si="24"/>
        <v>142</v>
      </c>
      <c r="E142" s="207" t="s">
        <v>154</v>
      </c>
      <c r="F142" s="211">
        <f t="shared" si="17"/>
        <v>141</v>
      </c>
      <c r="G142" s="206" t="s">
        <v>152</v>
      </c>
      <c r="H142" s="206"/>
      <c r="I142" s="208"/>
      <c r="J142" s="208"/>
      <c r="K142" s="234">
        <v>1</v>
      </c>
      <c r="L142" s="208" t="s">
        <v>84</v>
      </c>
      <c r="M142" s="217">
        <v>1</v>
      </c>
      <c r="N142" s="208" t="s">
        <v>39</v>
      </c>
      <c r="O142" s="218">
        <v>8</v>
      </c>
      <c r="P142" s="208" t="s">
        <v>112</v>
      </c>
      <c r="Q142" s="240">
        <f t="shared" si="14"/>
        <v>8</v>
      </c>
      <c r="R142" s="239">
        <v>1</v>
      </c>
      <c r="S142" s="240">
        <f t="shared" si="15"/>
        <v>9</v>
      </c>
      <c r="T142" s="216" t="s">
        <v>48</v>
      </c>
      <c r="U142" s="196" t="str">
        <f t="shared" si="16"/>
        <v>9 Hrs</v>
      </c>
    </row>
    <row r="143" spans="3:21" s="185" customFormat="1" ht="20.25" customHeight="1">
      <c r="C143" s="198"/>
      <c r="D143" s="203">
        <f t="shared" si="24"/>
        <v>143</v>
      </c>
      <c r="E143" s="207" t="s">
        <v>155</v>
      </c>
      <c r="F143" s="211">
        <f t="shared" si="17"/>
        <v>142</v>
      </c>
      <c r="G143" s="206" t="s">
        <v>156</v>
      </c>
      <c r="H143" s="206"/>
      <c r="I143" s="224">
        <v>18</v>
      </c>
      <c r="J143" s="234"/>
      <c r="K143" s="234">
        <v>1</v>
      </c>
      <c r="L143" s="208" t="s">
        <v>84</v>
      </c>
      <c r="M143" s="235">
        <v>24.8</v>
      </c>
      <c r="N143" s="208" t="s">
        <v>39</v>
      </c>
      <c r="O143" s="229">
        <f>VLOOKUP(I143,BM!$A$2:$X$104,22,FALSE)</f>
        <v>3.4</v>
      </c>
      <c r="P143" s="208" t="s">
        <v>112</v>
      </c>
      <c r="Q143" s="240">
        <f t="shared" si="14"/>
        <v>84.32</v>
      </c>
      <c r="R143" s="239">
        <v>1</v>
      </c>
      <c r="S143" s="240">
        <f t="shared" si="15"/>
        <v>85.32</v>
      </c>
      <c r="T143" s="216" t="s">
        <v>48</v>
      </c>
      <c r="U143" s="196" t="str">
        <f t="shared" si="16"/>
        <v>85.32 Hrs</v>
      </c>
    </row>
    <row r="144" spans="3:21" s="185" customFormat="1" ht="20.25" customHeight="1">
      <c r="C144" s="198">
        <f>D144</f>
        <v>144</v>
      </c>
      <c r="D144" s="203">
        <f t="shared" si="24"/>
        <v>144</v>
      </c>
      <c r="E144" s="204" t="s">
        <v>157</v>
      </c>
      <c r="F144" s="210">
        <f>D139</f>
        <v>139</v>
      </c>
      <c r="G144" s="206"/>
      <c r="H144" s="206"/>
      <c r="I144" s="208"/>
      <c r="J144" s="208"/>
      <c r="K144" s="234"/>
      <c r="L144" s="208"/>
      <c r="M144" s="217"/>
      <c r="N144" s="208"/>
      <c r="O144" s="218"/>
      <c r="P144" s="208"/>
      <c r="Q144" s="240"/>
      <c r="R144" s="239"/>
      <c r="S144" s="240"/>
      <c r="T144" s="216"/>
      <c r="U144" s="196"/>
    </row>
    <row r="145" spans="3:21" s="185" customFormat="1" ht="20.25" customHeight="1">
      <c r="C145" s="198"/>
      <c r="D145" s="203">
        <f t="shared" si="24"/>
        <v>145</v>
      </c>
      <c r="E145" s="207" t="s">
        <v>158</v>
      </c>
      <c r="F145" s="211"/>
      <c r="G145" s="206" t="s">
        <v>159</v>
      </c>
      <c r="H145" s="206"/>
      <c r="I145" s="208"/>
      <c r="J145" s="208"/>
      <c r="K145" s="234">
        <v>1</v>
      </c>
      <c r="L145" s="208" t="s">
        <v>160</v>
      </c>
      <c r="M145" s="217">
        <v>1</v>
      </c>
      <c r="N145" s="208" t="s">
        <v>160</v>
      </c>
      <c r="O145" s="218">
        <v>4</v>
      </c>
      <c r="P145" s="208" t="s">
        <v>41</v>
      </c>
      <c r="Q145" s="240">
        <f t="shared" si="14"/>
        <v>4</v>
      </c>
      <c r="R145" s="239"/>
      <c r="S145" s="240">
        <f t="shared" si="15"/>
        <v>4</v>
      </c>
      <c r="T145" s="216" t="s">
        <v>42</v>
      </c>
      <c r="U145" s="196" t="str">
        <f t="shared" si="16"/>
        <v>4 Days</v>
      </c>
    </row>
    <row r="146" spans="3:21" s="185" customFormat="1" ht="20.25" customHeight="1">
      <c r="C146" s="198"/>
      <c r="D146" s="203">
        <f t="shared" si="24"/>
        <v>146</v>
      </c>
      <c r="E146" s="207" t="s">
        <v>161</v>
      </c>
      <c r="F146" s="211">
        <f t="shared" si="17"/>
        <v>145</v>
      </c>
      <c r="G146" s="206" t="s">
        <v>44</v>
      </c>
      <c r="H146" s="206"/>
      <c r="I146" s="208"/>
      <c r="J146" s="208"/>
      <c r="K146" s="234">
        <v>6</v>
      </c>
      <c r="L146" s="208" t="s">
        <v>81</v>
      </c>
      <c r="M146" s="217">
        <v>6</v>
      </c>
      <c r="N146" s="208" t="s">
        <v>81</v>
      </c>
      <c r="O146" s="218">
        <v>0.5</v>
      </c>
      <c r="P146" s="208" t="s">
        <v>162</v>
      </c>
      <c r="Q146" s="240">
        <f t="shared" si="14"/>
        <v>3</v>
      </c>
      <c r="R146" s="239"/>
      <c r="S146" s="240">
        <f t="shared" si="15"/>
        <v>3</v>
      </c>
      <c r="T146" s="216" t="s">
        <v>48</v>
      </c>
      <c r="U146" s="196" t="str">
        <f t="shared" si="16"/>
        <v>3 Hrs</v>
      </c>
    </row>
    <row r="147" spans="3:21" s="185" customFormat="1" ht="20.25" customHeight="1">
      <c r="C147" s="198"/>
      <c r="D147" s="203">
        <f t="shared" si="24"/>
        <v>147</v>
      </c>
      <c r="E147" s="207" t="s">
        <v>163</v>
      </c>
      <c r="F147" s="211">
        <f t="shared" si="17"/>
        <v>146</v>
      </c>
      <c r="G147" s="206" t="s">
        <v>44</v>
      </c>
      <c r="H147" s="206"/>
      <c r="I147" s="224">
        <v>16</v>
      </c>
      <c r="J147" s="208"/>
      <c r="K147" s="234">
        <v>4</v>
      </c>
      <c r="L147" s="208" t="s">
        <v>81</v>
      </c>
      <c r="M147" s="235">
        <f>K147</f>
        <v>4</v>
      </c>
      <c r="N147" s="208" t="s">
        <v>81</v>
      </c>
      <c r="O147" s="218">
        <v>0.5</v>
      </c>
      <c r="P147" s="208" t="s">
        <v>162</v>
      </c>
      <c r="Q147" s="240">
        <f t="shared" si="14"/>
        <v>2</v>
      </c>
      <c r="R147" s="239"/>
      <c r="S147" s="240">
        <f t="shared" si="15"/>
        <v>2</v>
      </c>
      <c r="T147" s="216" t="s">
        <v>48</v>
      </c>
      <c r="U147" s="196" t="str">
        <f t="shared" si="16"/>
        <v>2 Hrs</v>
      </c>
    </row>
    <row r="148" spans="3:21" s="185" customFormat="1" ht="20.25" customHeight="1">
      <c r="C148" s="198"/>
      <c r="D148" s="203">
        <f t="shared" si="24"/>
        <v>148</v>
      </c>
      <c r="E148" s="207" t="s">
        <v>164</v>
      </c>
      <c r="F148" s="211">
        <f t="shared" si="17"/>
        <v>147</v>
      </c>
      <c r="G148" s="206" t="s">
        <v>44</v>
      </c>
      <c r="H148" s="206"/>
      <c r="I148" s="224">
        <v>16</v>
      </c>
      <c r="J148" s="208"/>
      <c r="K148" s="234">
        <v>4</v>
      </c>
      <c r="L148" s="208" t="s">
        <v>81</v>
      </c>
      <c r="M148" s="235">
        <f>K148</f>
        <v>4</v>
      </c>
      <c r="N148" s="208" t="s">
        <v>81</v>
      </c>
      <c r="O148" s="218">
        <v>0.5</v>
      </c>
      <c r="P148" s="208" t="s">
        <v>162</v>
      </c>
      <c r="Q148" s="240">
        <f t="shared" si="14"/>
        <v>2</v>
      </c>
      <c r="R148" s="239"/>
      <c r="S148" s="240">
        <f t="shared" si="15"/>
        <v>2</v>
      </c>
      <c r="T148" s="216" t="s">
        <v>48</v>
      </c>
      <c r="U148" s="196" t="str">
        <f t="shared" si="16"/>
        <v>2 Hrs</v>
      </c>
    </row>
    <row r="149" spans="3:21" s="185" customFormat="1" ht="20.25" customHeight="1">
      <c r="C149" s="198"/>
      <c r="D149" s="203">
        <f t="shared" si="24"/>
        <v>149</v>
      </c>
      <c r="E149" s="207" t="s">
        <v>165</v>
      </c>
      <c r="F149" s="211">
        <f t="shared" si="17"/>
        <v>148</v>
      </c>
      <c r="G149" s="206" t="s">
        <v>44</v>
      </c>
      <c r="H149" s="206"/>
      <c r="I149" s="224">
        <v>30</v>
      </c>
      <c r="J149" s="208"/>
      <c r="K149" s="234">
        <v>2</v>
      </c>
      <c r="L149" s="208" t="s">
        <v>81</v>
      </c>
      <c r="M149" s="235">
        <f>K149</f>
        <v>2</v>
      </c>
      <c r="N149" s="208" t="s">
        <v>81</v>
      </c>
      <c r="O149" s="218">
        <v>0.5</v>
      </c>
      <c r="P149" s="208" t="s">
        <v>162</v>
      </c>
      <c r="Q149" s="240">
        <f t="shared" si="14"/>
        <v>1</v>
      </c>
      <c r="R149" s="239"/>
      <c r="S149" s="240">
        <f t="shared" si="15"/>
        <v>1</v>
      </c>
      <c r="T149" s="216" t="s">
        <v>48</v>
      </c>
      <c r="U149" s="196" t="str">
        <f t="shared" si="16"/>
        <v>1 Hrs</v>
      </c>
    </row>
    <row r="150" spans="3:21" s="185" customFormat="1" ht="20.25" customHeight="1">
      <c r="C150" s="198"/>
      <c r="D150" s="203">
        <f t="shared" si="24"/>
        <v>150</v>
      </c>
      <c r="E150" s="207" t="s">
        <v>166</v>
      </c>
      <c r="F150" s="211">
        <f t="shared" si="17"/>
        <v>149</v>
      </c>
      <c r="G150" s="206" t="s">
        <v>52</v>
      </c>
      <c r="H150" s="206"/>
      <c r="I150" s="208"/>
      <c r="J150" s="208"/>
      <c r="K150" s="234">
        <v>6</v>
      </c>
      <c r="L150" s="208" t="s">
        <v>81</v>
      </c>
      <c r="M150" s="235">
        <f>K150</f>
        <v>6</v>
      </c>
      <c r="N150" s="208" t="s">
        <v>81</v>
      </c>
      <c r="O150" s="218">
        <v>0.5</v>
      </c>
      <c r="P150" s="208" t="s">
        <v>162</v>
      </c>
      <c r="Q150" s="240">
        <f t="shared" si="14"/>
        <v>3</v>
      </c>
      <c r="R150" s="239"/>
      <c r="S150" s="240">
        <f t="shared" si="15"/>
        <v>3</v>
      </c>
      <c r="T150" s="216" t="s">
        <v>48</v>
      </c>
      <c r="U150" s="196" t="str">
        <f t="shared" si="16"/>
        <v>3 Hrs</v>
      </c>
    </row>
    <row r="151" spans="3:21" s="185" customFormat="1" ht="20.25" customHeight="1">
      <c r="C151" s="198"/>
      <c r="D151" s="203">
        <f t="shared" si="24"/>
        <v>151</v>
      </c>
      <c r="E151" s="207" t="s">
        <v>167</v>
      </c>
      <c r="F151" s="211">
        <f t="shared" si="17"/>
        <v>150</v>
      </c>
      <c r="G151" s="206" t="s">
        <v>52</v>
      </c>
      <c r="H151" s="206"/>
      <c r="I151" s="208"/>
      <c r="J151" s="208"/>
      <c r="K151" s="234">
        <v>4</v>
      </c>
      <c r="L151" s="208" t="s">
        <v>81</v>
      </c>
      <c r="M151" s="235">
        <f t="shared" ref="M151:M158" si="28">K151</f>
        <v>4</v>
      </c>
      <c r="N151" s="208" t="s">
        <v>81</v>
      </c>
      <c r="O151" s="218">
        <v>0.5</v>
      </c>
      <c r="P151" s="208" t="s">
        <v>162</v>
      </c>
      <c r="Q151" s="240">
        <f t="shared" si="14"/>
        <v>2</v>
      </c>
      <c r="R151" s="239"/>
      <c r="S151" s="240">
        <f t="shared" si="15"/>
        <v>2</v>
      </c>
      <c r="T151" s="216" t="s">
        <v>48</v>
      </c>
      <c r="U151" s="196" t="str">
        <f t="shared" si="16"/>
        <v>2 Hrs</v>
      </c>
    </row>
    <row r="152" spans="3:21" s="185" customFormat="1" ht="20.25" customHeight="1">
      <c r="C152" s="198"/>
      <c r="D152" s="203">
        <f t="shared" si="24"/>
        <v>152</v>
      </c>
      <c r="E152" s="207" t="s">
        <v>168</v>
      </c>
      <c r="F152" s="211">
        <f t="shared" si="17"/>
        <v>151</v>
      </c>
      <c r="G152" s="206" t="s">
        <v>44</v>
      </c>
      <c r="H152" s="206"/>
      <c r="I152" s="208"/>
      <c r="J152" s="208"/>
      <c r="K152" s="234">
        <v>6</v>
      </c>
      <c r="L152" s="208" t="s">
        <v>81</v>
      </c>
      <c r="M152" s="235">
        <f t="shared" si="28"/>
        <v>6</v>
      </c>
      <c r="N152" s="208" t="s">
        <v>81</v>
      </c>
      <c r="O152" s="218">
        <v>0.5</v>
      </c>
      <c r="P152" s="208" t="s">
        <v>162</v>
      </c>
      <c r="Q152" s="240">
        <f t="shared" si="14"/>
        <v>3</v>
      </c>
      <c r="R152" s="239"/>
      <c r="S152" s="240">
        <f t="shared" si="15"/>
        <v>3</v>
      </c>
      <c r="T152" s="216" t="s">
        <v>48</v>
      </c>
      <c r="U152" s="196" t="str">
        <f t="shared" si="16"/>
        <v>3 Hrs</v>
      </c>
    </row>
    <row r="153" spans="3:21" s="185" customFormat="1" ht="20.25" customHeight="1">
      <c r="C153" s="198"/>
      <c r="D153" s="203">
        <f t="shared" si="24"/>
        <v>153</v>
      </c>
      <c r="E153" s="207" t="s">
        <v>169</v>
      </c>
      <c r="F153" s="211">
        <f t="shared" si="17"/>
        <v>152</v>
      </c>
      <c r="G153" s="206" t="s">
        <v>61</v>
      </c>
      <c r="H153" s="206"/>
      <c r="I153" s="208"/>
      <c r="J153" s="208"/>
      <c r="K153" s="234">
        <v>10</v>
      </c>
      <c r="L153" s="208" t="s">
        <v>81</v>
      </c>
      <c r="M153" s="235">
        <f t="shared" si="28"/>
        <v>10</v>
      </c>
      <c r="N153" s="208" t="s">
        <v>81</v>
      </c>
      <c r="O153" s="218">
        <v>0.5</v>
      </c>
      <c r="P153" s="208" t="s">
        <v>162</v>
      </c>
      <c r="Q153" s="240">
        <f t="shared" si="14"/>
        <v>5</v>
      </c>
      <c r="R153" s="239"/>
      <c r="S153" s="240">
        <f t="shared" si="15"/>
        <v>5</v>
      </c>
      <c r="T153" s="216" t="s">
        <v>48</v>
      </c>
      <c r="U153" s="196" t="str">
        <f t="shared" si="16"/>
        <v>5 Hrs</v>
      </c>
    </row>
    <row r="154" spans="3:21" s="185" customFormat="1" ht="20.25" customHeight="1">
      <c r="C154" s="198"/>
      <c r="D154" s="203">
        <f t="shared" si="24"/>
        <v>154</v>
      </c>
      <c r="E154" s="207" t="s">
        <v>170</v>
      </c>
      <c r="F154" s="211">
        <f t="shared" si="17"/>
        <v>153</v>
      </c>
      <c r="G154" s="206" t="s">
        <v>61</v>
      </c>
      <c r="H154" s="206"/>
      <c r="I154" s="208"/>
      <c r="J154" s="208"/>
      <c r="K154" s="234">
        <v>2</v>
      </c>
      <c r="L154" s="208" t="s">
        <v>81</v>
      </c>
      <c r="M154" s="235">
        <f t="shared" si="28"/>
        <v>2</v>
      </c>
      <c r="N154" s="208" t="s">
        <v>81</v>
      </c>
      <c r="O154" s="218">
        <v>0.5</v>
      </c>
      <c r="P154" s="208" t="s">
        <v>162</v>
      </c>
      <c r="Q154" s="240">
        <f t="shared" si="14"/>
        <v>1</v>
      </c>
      <c r="R154" s="239"/>
      <c r="S154" s="240">
        <f t="shared" si="15"/>
        <v>1</v>
      </c>
      <c r="T154" s="216" t="s">
        <v>48</v>
      </c>
      <c r="U154" s="196" t="str">
        <f t="shared" si="16"/>
        <v>1 Hrs</v>
      </c>
    </row>
    <row r="155" spans="3:21" s="185" customFormat="1" ht="20.25" customHeight="1">
      <c r="C155" s="198"/>
      <c r="D155" s="203">
        <f t="shared" si="24"/>
        <v>155</v>
      </c>
      <c r="E155" s="207" t="s">
        <v>171</v>
      </c>
      <c r="F155" s="211">
        <f t="shared" si="17"/>
        <v>154</v>
      </c>
      <c r="G155" s="206" t="s">
        <v>172</v>
      </c>
      <c r="H155" s="206"/>
      <c r="I155" s="208"/>
      <c r="J155" s="208"/>
      <c r="K155" s="234">
        <v>2</v>
      </c>
      <c r="L155" s="208" t="s">
        <v>81</v>
      </c>
      <c r="M155" s="235">
        <f t="shared" si="28"/>
        <v>2</v>
      </c>
      <c r="N155" s="208" t="s">
        <v>81</v>
      </c>
      <c r="O155" s="218">
        <v>0.5</v>
      </c>
      <c r="P155" s="208" t="s">
        <v>162</v>
      </c>
      <c r="Q155" s="240">
        <f t="shared" si="14"/>
        <v>1</v>
      </c>
      <c r="R155" s="239"/>
      <c r="S155" s="240">
        <f t="shared" si="15"/>
        <v>1</v>
      </c>
      <c r="T155" s="216" t="s">
        <v>48</v>
      </c>
      <c r="U155" s="196" t="str">
        <f t="shared" si="16"/>
        <v>1 Hrs</v>
      </c>
    </row>
    <row r="156" spans="3:21" s="185" customFormat="1" ht="20.25" customHeight="1">
      <c r="C156" s="198"/>
      <c r="D156" s="203">
        <f t="shared" si="24"/>
        <v>156</v>
      </c>
      <c r="E156" s="207" t="s">
        <v>173</v>
      </c>
      <c r="F156" s="211">
        <f t="shared" si="17"/>
        <v>155</v>
      </c>
      <c r="G156" s="206" t="s">
        <v>115</v>
      </c>
      <c r="H156" s="206"/>
      <c r="I156" s="208"/>
      <c r="J156" s="208"/>
      <c r="K156" s="234">
        <v>2</v>
      </c>
      <c r="L156" s="208" t="s">
        <v>81</v>
      </c>
      <c r="M156" s="235">
        <f t="shared" si="28"/>
        <v>2</v>
      </c>
      <c r="N156" s="208" t="s">
        <v>81</v>
      </c>
      <c r="O156" s="218">
        <v>0.5</v>
      </c>
      <c r="P156" s="208" t="s">
        <v>162</v>
      </c>
      <c r="Q156" s="240">
        <f t="shared" si="14"/>
        <v>1</v>
      </c>
      <c r="R156" s="239"/>
      <c r="S156" s="240">
        <f t="shared" si="15"/>
        <v>1</v>
      </c>
      <c r="T156" s="216" t="s">
        <v>48</v>
      </c>
      <c r="U156" s="196" t="str">
        <f t="shared" ref="U156:U219" si="29">CONCATENATE(S156," ",T156)</f>
        <v>1 Hrs</v>
      </c>
    </row>
    <row r="157" spans="3:21" s="185" customFormat="1" ht="20.25" customHeight="1">
      <c r="C157" s="198"/>
      <c r="D157" s="203">
        <f t="shared" si="24"/>
        <v>157</v>
      </c>
      <c r="E157" s="207" t="s">
        <v>174</v>
      </c>
      <c r="F157" s="211">
        <f t="shared" ref="F157:F220" si="30">D156</f>
        <v>156</v>
      </c>
      <c r="G157" s="206" t="s">
        <v>115</v>
      </c>
      <c r="H157" s="206"/>
      <c r="I157" s="208"/>
      <c r="J157" s="208"/>
      <c r="K157" s="234">
        <v>2</v>
      </c>
      <c r="L157" s="208" t="s">
        <v>81</v>
      </c>
      <c r="M157" s="235">
        <f t="shared" si="28"/>
        <v>2</v>
      </c>
      <c r="N157" s="208" t="s">
        <v>81</v>
      </c>
      <c r="O157" s="218">
        <v>0.5</v>
      </c>
      <c r="P157" s="208" t="s">
        <v>162</v>
      </c>
      <c r="Q157" s="240">
        <f t="shared" ref="Q157:Q220" si="31">M157*O157</f>
        <v>1</v>
      </c>
      <c r="R157" s="239"/>
      <c r="S157" s="240">
        <f t="shared" ref="S157:S220" si="32">ROUND(Q157+R157,2)</f>
        <v>1</v>
      </c>
      <c r="T157" s="216" t="s">
        <v>48</v>
      </c>
      <c r="U157" s="196" t="str">
        <f t="shared" si="29"/>
        <v>1 Hrs</v>
      </c>
    </row>
    <row r="158" spans="3:21" s="185" customFormat="1" ht="20.25" customHeight="1">
      <c r="C158" s="198"/>
      <c r="D158" s="203">
        <f t="shared" si="24"/>
        <v>158</v>
      </c>
      <c r="E158" s="207" t="s">
        <v>175</v>
      </c>
      <c r="F158" s="211">
        <f t="shared" si="30"/>
        <v>157</v>
      </c>
      <c r="G158" s="206" t="s">
        <v>44</v>
      </c>
      <c r="H158" s="206"/>
      <c r="I158" s="208"/>
      <c r="J158" s="208"/>
      <c r="K158" s="234">
        <v>4</v>
      </c>
      <c r="L158" s="208" t="s">
        <v>81</v>
      </c>
      <c r="M158" s="235">
        <f t="shared" si="28"/>
        <v>4</v>
      </c>
      <c r="N158" s="208" t="s">
        <v>81</v>
      </c>
      <c r="O158" s="218">
        <v>0.5</v>
      </c>
      <c r="P158" s="208" t="s">
        <v>162</v>
      </c>
      <c r="Q158" s="240">
        <f t="shared" si="31"/>
        <v>2</v>
      </c>
      <c r="R158" s="239"/>
      <c r="S158" s="240">
        <f t="shared" si="32"/>
        <v>2</v>
      </c>
      <c r="T158" s="216" t="s">
        <v>48</v>
      </c>
      <c r="U158" s="196" t="str">
        <f t="shared" si="29"/>
        <v>2 Hrs</v>
      </c>
    </row>
    <row r="159" spans="3:21" s="185" customFormat="1" ht="20.25" customHeight="1">
      <c r="C159" s="198">
        <f>D159</f>
        <v>159</v>
      </c>
      <c r="D159" s="203">
        <f t="shared" si="24"/>
        <v>159</v>
      </c>
      <c r="E159" s="204" t="s">
        <v>176</v>
      </c>
      <c r="F159" s="210">
        <f>D144</f>
        <v>144</v>
      </c>
      <c r="G159" s="206"/>
      <c r="H159" s="206"/>
      <c r="I159" s="208"/>
      <c r="J159" s="208"/>
      <c r="K159" s="234"/>
      <c r="L159" s="208"/>
      <c r="M159" s="217"/>
      <c r="N159" s="208"/>
      <c r="O159" s="218"/>
      <c r="P159" s="208"/>
      <c r="Q159" s="240"/>
      <c r="R159" s="239"/>
      <c r="S159" s="240"/>
      <c r="T159" s="216"/>
      <c r="U159" s="196"/>
    </row>
    <row r="160" spans="3:21" s="185" customFormat="1" ht="20.25" customHeight="1">
      <c r="C160" s="198"/>
      <c r="D160" s="203">
        <f t="shared" si="24"/>
        <v>160</v>
      </c>
      <c r="E160" s="207" t="s">
        <v>135</v>
      </c>
      <c r="F160" s="211"/>
      <c r="G160" s="206"/>
      <c r="H160" s="206"/>
      <c r="I160" s="208"/>
      <c r="J160" s="208"/>
      <c r="K160" s="234">
        <v>1</v>
      </c>
      <c r="L160" s="208" t="s">
        <v>160</v>
      </c>
      <c r="M160" s="217">
        <v>1</v>
      </c>
      <c r="N160" s="208" t="s">
        <v>160</v>
      </c>
      <c r="O160" s="218">
        <v>4</v>
      </c>
      <c r="P160" s="208" t="s">
        <v>177</v>
      </c>
      <c r="Q160" s="240">
        <f t="shared" si="31"/>
        <v>4</v>
      </c>
      <c r="R160" s="239"/>
      <c r="S160" s="240">
        <f t="shared" si="32"/>
        <v>4</v>
      </c>
      <c r="T160" s="216" t="s">
        <v>42</v>
      </c>
      <c r="U160" s="196" t="str">
        <f t="shared" si="29"/>
        <v>4 Days</v>
      </c>
    </row>
    <row r="161" spans="3:21" s="185" customFormat="1" ht="20.25" customHeight="1">
      <c r="C161" s="198"/>
      <c r="D161" s="203">
        <f t="shared" si="24"/>
        <v>161</v>
      </c>
      <c r="E161" s="207" t="s">
        <v>178</v>
      </c>
      <c r="F161" s="211">
        <f t="shared" si="30"/>
        <v>160</v>
      </c>
      <c r="G161" s="206" t="s">
        <v>44</v>
      </c>
      <c r="H161" s="206"/>
      <c r="I161" s="224">
        <v>18</v>
      </c>
      <c r="J161" s="208"/>
      <c r="K161" s="234">
        <v>4</v>
      </c>
      <c r="L161" s="208" t="s">
        <v>81</v>
      </c>
      <c r="M161" s="235">
        <f t="shared" ref="M161:M163" si="33">K161</f>
        <v>4</v>
      </c>
      <c r="N161" s="208" t="s">
        <v>81</v>
      </c>
      <c r="O161" s="218">
        <v>0.5</v>
      </c>
      <c r="P161" s="208" t="s">
        <v>162</v>
      </c>
      <c r="Q161" s="240">
        <f t="shared" si="31"/>
        <v>2</v>
      </c>
      <c r="R161" s="239"/>
      <c r="S161" s="240">
        <f t="shared" si="32"/>
        <v>2</v>
      </c>
      <c r="T161" s="216" t="s">
        <v>48</v>
      </c>
      <c r="U161" s="196" t="str">
        <f t="shared" si="29"/>
        <v>2 Hrs</v>
      </c>
    </row>
    <row r="162" spans="3:21" s="185" customFormat="1" ht="20.25" customHeight="1">
      <c r="C162" s="198"/>
      <c r="D162" s="203">
        <f t="shared" si="24"/>
        <v>162</v>
      </c>
      <c r="E162" s="207" t="s">
        <v>179</v>
      </c>
      <c r="F162" s="211">
        <f t="shared" si="30"/>
        <v>161</v>
      </c>
      <c r="G162" s="206" t="s">
        <v>52</v>
      </c>
      <c r="H162" s="206"/>
      <c r="I162" s="208"/>
      <c r="J162" s="208"/>
      <c r="K162" s="234">
        <v>4</v>
      </c>
      <c r="L162" s="208" t="s">
        <v>81</v>
      </c>
      <c r="M162" s="235">
        <f t="shared" si="33"/>
        <v>4</v>
      </c>
      <c r="N162" s="208" t="s">
        <v>81</v>
      </c>
      <c r="O162" s="218">
        <v>0.5</v>
      </c>
      <c r="P162" s="208" t="s">
        <v>162</v>
      </c>
      <c r="Q162" s="240">
        <f t="shared" si="31"/>
        <v>2</v>
      </c>
      <c r="R162" s="239"/>
      <c r="S162" s="240">
        <f t="shared" si="32"/>
        <v>2</v>
      </c>
      <c r="T162" s="216" t="s">
        <v>48</v>
      </c>
      <c r="U162" s="196" t="str">
        <f t="shared" si="29"/>
        <v>2 Hrs</v>
      </c>
    </row>
    <row r="163" spans="3:21" s="185" customFormat="1" ht="20.25" customHeight="1">
      <c r="C163" s="198"/>
      <c r="D163" s="203">
        <f t="shared" si="24"/>
        <v>163</v>
      </c>
      <c r="E163" s="207" t="s">
        <v>180</v>
      </c>
      <c r="F163" s="211">
        <f t="shared" si="30"/>
        <v>162</v>
      </c>
      <c r="G163" s="206" t="s">
        <v>121</v>
      </c>
      <c r="H163" s="206"/>
      <c r="I163" s="208"/>
      <c r="J163" s="208"/>
      <c r="K163" s="234">
        <v>4</v>
      </c>
      <c r="L163" s="208" t="s">
        <v>81</v>
      </c>
      <c r="M163" s="235">
        <f t="shared" si="33"/>
        <v>4</v>
      </c>
      <c r="N163" s="208" t="s">
        <v>81</v>
      </c>
      <c r="O163" s="218">
        <v>0.5</v>
      </c>
      <c r="P163" s="208" t="s">
        <v>162</v>
      </c>
      <c r="Q163" s="240">
        <f t="shared" si="31"/>
        <v>2</v>
      </c>
      <c r="R163" s="239"/>
      <c r="S163" s="240">
        <f t="shared" si="32"/>
        <v>2</v>
      </c>
      <c r="T163" s="216" t="s">
        <v>48</v>
      </c>
      <c r="U163" s="196" t="str">
        <f t="shared" si="29"/>
        <v>2 Hrs</v>
      </c>
    </row>
    <row r="164" spans="3:21" s="185" customFormat="1" ht="20.25" customHeight="1">
      <c r="C164" s="198">
        <f>D164</f>
        <v>164</v>
      </c>
      <c r="D164" s="203">
        <f t="shared" si="24"/>
        <v>164</v>
      </c>
      <c r="E164" s="204" t="s">
        <v>181</v>
      </c>
      <c r="F164" s="210">
        <f>D159</f>
        <v>159</v>
      </c>
      <c r="G164" s="206"/>
      <c r="H164" s="206"/>
      <c r="I164" s="208"/>
      <c r="J164" s="208"/>
      <c r="K164" s="234"/>
      <c r="L164" s="208"/>
      <c r="M164" s="217"/>
      <c r="N164" s="208"/>
      <c r="O164" s="218"/>
      <c r="P164" s="208"/>
      <c r="Q164" s="240"/>
      <c r="R164" s="239"/>
      <c r="S164" s="240"/>
      <c r="T164" s="216"/>
      <c r="U164" s="196"/>
    </row>
    <row r="165" spans="3:21" s="185" customFormat="1" ht="20.25" customHeight="1">
      <c r="C165" s="198"/>
      <c r="D165" s="203">
        <f t="shared" si="24"/>
        <v>165</v>
      </c>
      <c r="E165" s="207" t="s">
        <v>182</v>
      </c>
      <c r="F165" s="211"/>
      <c r="G165" s="206" t="s">
        <v>44</v>
      </c>
      <c r="H165" s="206"/>
      <c r="I165" s="224">
        <v>24</v>
      </c>
      <c r="J165" s="208"/>
      <c r="K165" s="234">
        <v>1</v>
      </c>
      <c r="L165" s="208" t="s">
        <v>160</v>
      </c>
      <c r="M165" s="217">
        <v>1</v>
      </c>
      <c r="N165" s="208" t="s">
        <v>160</v>
      </c>
      <c r="O165" s="218">
        <v>4</v>
      </c>
      <c r="P165" s="208" t="s">
        <v>177</v>
      </c>
      <c r="Q165" s="240">
        <f t="shared" si="31"/>
        <v>4</v>
      </c>
      <c r="R165" s="239"/>
      <c r="S165" s="240">
        <f t="shared" si="32"/>
        <v>4</v>
      </c>
      <c r="T165" s="216" t="s">
        <v>42</v>
      </c>
      <c r="U165" s="196" t="str">
        <f t="shared" si="29"/>
        <v>4 Days</v>
      </c>
    </row>
    <row r="166" spans="3:21" s="185" customFormat="1" ht="20.25" customHeight="1">
      <c r="C166" s="198"/>
      <c r="D166" s="203">
        <f t="shared" si="24"/>
        <v>166</v>
      </c>
      <c r="E166" s="207" t="s">
        <v>183</v>
      </c>
      <c r="F166" s="211">
        <f t="shared" si="30"/>
        <v>165</v>
      </c>
      <c r="G166" s="206" t="s">
        <v>52</v>
      </c>
      <c r="H166" s="206"/>
      <c r="I166" s="208"/>
      <c r="J166" s="208"/>
      <c r="K166" s="234">
        <v>4</v>
      </c>
      <c r="L166" s="208" t="s">
        <v>81</v>
      </c>
      <c r="M166" s="235">
        <f t="shared" ref="M166:M168" si="34">K166</f>
        <v>4</v>
      </c>
      <c r="N166" s="208" t="s">
        <v>81</v>
      </c>
      <c r="O166" s="218">
        <v>0.5</v>
      </c>
      <c r="P166" s="208" t="s">
        <v>162</v>
      </c>
      <c r="Q166" s="240">
        <f t="shared" si="31"/>
        <v>2</v>
      </c>
      <c r="R166" s="239"/>
      <c r="S166" s="240">
        <f t="shared" si="32"/>
        <v>2</v>
      </c>
      <c r="T166" s="216" t="s">
        <v>48</v>
      </c>
      <c r="U166" s="196" t="str">
        <f t="shared" si="29"/>
        <v>2 Hrs</v>
      </c>
    </row>
    <row r="167" spans="3:21" s="185" customFormat="1" ht="20.25" customHeight="1">
      <c r="C167" s="198"/>
      <c r="D167" s="203">
        <f t="shared" si="24"/>
        <v>167</v>
      </c>
      <c r="E167" s="207" t="s">
        <v>184</v>
      </c>
      <c r="F167" s="211">
        <f t="shared" si="30"/>
        <v>166</v>
      </c>
      <c r="G167" s="206" t="s">
        <v>121</v>
      </c>
      <c r="H167" s="206"/>
      <c r="I167" s="208"/>
      <c r="J167" s="208"/>
      <c r="K167" s="234">
        <v>4</v>
      </c>
      <c r="L167" s="208" t="s">
        <v>81</v>
      </c>
      <c r="M167" s="235">
        <f t="shared" si="34"/>
        <v>4</v>
      </c>
      <c r="N167" s="208" t="s">
        <v>81</v>
      </c>
      <c r="O167" s="218">
        <v>0.5</v>
      </c>
      <c r="P167" s="208" t="s">
        <v>162</v>
      </c>
      <c r="Q167" s="240">
        <f t="shared" si="31"/>
        <v>2</v>
      </c>
      <c r="R167" s="239"/>
      <c r="S167" s="240">
        <f t="shared" si="32"/>
        <v>2</v>
      </c>
      <c r="T167" s="216" t="s">
        <v>48</v>
      </c>
      <c r="U167" s="196" t="str">
        <f t="shared" si="29"/>
        <v>2 Hrs</v>
      </c>
    </row>
    <row r="168" spans="3:21" s="185" customFormat="1" ht="20.25" customHeight="1">
      <c r="C168" s="198"/>
      <c r="D168" s="203">
        <f t="shared" si="24"/>
        <v>168</v>
      </c>
      <c r="E168" s="207" t="s">
        <v>185</v>
      </c>
      <c r="F168" s="211">
        <f t="shared" si="30"/>
        <v>167</v>
      </c>
      <c r="G168" s="206" t="s">
        <v>44</v>
      </c>
      <c r="H168" s="206"/>
      <c r="I168" s="208"/>
      <c r="J168" s="208"/>
      <c r="K168" s="234">
        <v>4</v>
      </c>
      <c r="L168" s="208" t="s">
        <v>81</v>
      </c>
      <c r="M168" s="235">
        <f t="shared" si="34"/>
        <v>4</v>
      </c>
      <c r="N168" s="208" t="s">
        <v>81</v>
      </c>
      <c r="O168" s="218">
        <v>0.5</v>
      </c>
      <c r="P168" s="208" t="s">
        <v>162</v>
      </c>
      <c r="Q168" s="240">
        <f t="shared" si="31"/>
        <v>2</v>
      </c>
      <c r="R168" s="239"/>
      <c r="S168" s="240">
        <f t="shared" si="32"/>
        <v>2</v>
      </c>
      <c r="T168" s="216" t="s">
        <v>48</v>
      </c>
      <c r="U168" s="196" t="str">
        <f t="shared" si="29"/>
        <v>2 Hrs</v>
      </c>
    </row>
    <row r="169" spans="3:21" s="185" customFormat="1" ht="20.25" customHeight="1">
      <c r="C169" s="198">
        <f>D169</f>
        <v>169</v>
      </c>
      <c r="D169" s="203">
        <f t="shared" si="24"/>
        <v>169</v>
      </c>
      <c r="E169" s="204" t="s">
        <v>186</v>
      </c>
      <c r="F169" s="210">
        <f>D164</f>
        <v>164</v>
      </c>
      <c r="G169" s="206"/>
      <c r="H169" s="206"/>
      <c r="I169" s="208"/>
      <c r="J169" s="208"/>
      <c r="K169" s="234"/>
      <c r="L169" s="208"/>
      <c r="M169" s="217"/>
      <c r="N169" s="208"/>
      <c r="O169" s="218"/>
      <c r="P169" s="208"/>
      <c r="Q169" s="240"/>
      <c r="R169" s="239"/>
      <c r="S169" s="240"/>
      <c r="T169" s="216"/>
      <c r="U169" s="196"/>
    </row>
    <row r="170" spans="3:21" s="185" customFormat="1" ht="20.25" customHeight="1">
      <c r="C170" s="198"/>
      <c r="D170" s="203">
        <f t="shared" si="24"/>
        <v>170</v>
      </c>
      <c r="E170" s="207" t="s">
        <v>187</v>
      </c>
      <c r="F170" s="211"/>
      <c r="G170" s="206" t="s">
        <v>44</v>
      </c>
      <c r="H170" s="206"/>
      <c r="I170" s="208"/>
      <c r="J170" s="208"/>
      <c r="K170" s="234">
        <v>4</v>
      </c>
      <c r="L170" s="208" t="s">
        <v>81</v>
      </c>
      <c r="M170" s="235">
        <f t="shared" ref="M170:M171" si="35">K170</f>
        <v>4</v>
      </c>
      <c r="N170" s="208" t="s">
        <v>81</v>
      </c>
      <c r="O170" s="218">
        <v>1</v>
      </c>
      <c r="P170" s="208" t="s">
        <v>162</v>
      </c>
      <c r="Q170" s="240">
        <f t="shared" si="31"/>
        <v>4</v>
      </c>
      <c r="R170" s="239"/>
      <c r="S170" s="240">
        <f t="shared" si="32"/>
        <v>4</v>
      </c>
      <c r="T170" s="216" t="s">
        <v>42</v>
      </c>
      <c r="U170" s="196" t="str">
        <f t="shared" si="29"/>
        <v>4 Days</v>
      </c>
    </row>
    <row r="171" spans="3:21" s="185" customFormat="1" ht="20.25" customHeight="1">
      <c r="C171" s="198"/>
      <c r="D171" s="203">
        <f t="shared" si="24"/>
        <v>171</v>
      </c>
      <c r="E171" s="207" t="s">
        <v>188</v>
      </c>
      <c r="F171" s="211">
        <f t="shared" si="30"/>
        <v>170</v>
      </c>
      <c r="G171" s="206" t="s">
        <v>44</v>
      </c>
      <c r="H171" s="206"/>
      <c r="I171" s="208"/>
      <c r="J171" s="208"/>
      <c r="K171" s="234">
        <v>4</v>
      </c>
      <c r="L171" s="208" t="s">
        <v>81</v>
      </c>
      <c r="M171" s="235">
        <f t="shared" si="35"/>
        <v>4</v>
      </c>
      <c r="N171" s="208" t="s">
        <v>81</v>
      </c>
      <c r="O171" s="218">
        <v>1</v>
      </c>
      <c r="P171" s="208" t="s">
        <v>162</v>
      </c>
      <c r="Q171" s="240">
        <f t="shared" si="31"/>
        <v>4</v>
      </c>
      <c r="R171" s="239"/>
      <c r="S171" s="240">
        <f t="shared" si="32"/>
        <v>4</v>
      </c>
      <c r="T171" s="216" t="s">
        <v>42</v>
      </c>
      <c r="U171" s="196" t="str">
        <f t="shared" si="29"/>
        <v>4 Days</v>
      </c>
    </row>
    <row r="172" spans="3:21" s="185" customFormat="1" ht="20.25" customHeight="1">
      <c r="C172" s="198">
        <f>D172</f>
        <v>172</v>
      </c>
      <c r="D172" s="203">
        <f t="shared" si="24"/>
        <v>172</v>
      </c>
      <c r="E172" s="204" t="s">
        <v>189</v>
      </c>
      <c r="F172" s="210">
        <f>D169</f>
        <v>169</v>
      </c>
      <c r="G172" s="206"/>
      <c r="H172" s="206"/>
      <c r="I172" s="208"/>
      <c r="J172" s="208"/>
      <c r="K172" s="234"/>
      <c r="L172" s="208"/>
      <c r="M172" s="217"/>
      <c r="N172" s="208"/>
      <c r="O172" s="218"/>
      <c r="P172" s="208"/>
      <c r="Q172" s="240"/>
      <c r="R172" s="239"/>
      <c r="S172" s="240"/>
      <c r="T172" s="216"/>
      <c r="U172" s="196"/>
    </row>
    <row r="173" spans="3:21" s="185" customFormat="1" ht="20.25" customHeight="1">
      <c r="C173" s="198"/>
      <c r="D173" s="203">
        <f t="shared" si="24"/>
        <v>173</v>
      </c>
      <c r="E173" s="207" t="s">
        <v>190</v>
      </c>
      <c r="F173" s="211"/>
      <c r="G173" s="206" t="s">
        <v>44</v>
      </c>
      <c r="H173" s="206"/>
      <c r="I173" s="224">
        <v>12</v>
      </c>
      <c r="J173" s="208"/>
      <c r="K173" s="234">
        <v>1</v>
      </c>
      <c r="L173" s="208" t="s">
        <v>81</v>
      </c>
      <c r="M173" s="235">
        <f t="shared" ref="M173:M176" si="36">K173</f>
        <v>1</v>
      </c>
      <c r="N173" s="208" t="s">
        <v>81</v>
      </c>
      <c r="O173" s="218">
        <v>4</v>
      </c>
      <c r="P173" s="208" t="s">
        <v>162</v>
      </c>
      <c r="Q173" s="240">
        <f t="shared" si="31"/>
        <v>4</v>
      </c>
      <c r="R173" s="239"/>
      <c r="S173" s="240">
        <f t="shared" si="32"/>
        <v>4</v>
      </c>
      <c r="T173" s="216" t="s">
        <v>48</v>
      </c>
      <c r="U173" s="196" t="str">
        <f t="shared" si="29"/>
        <v>4 Hrs</v>
      </c>
    </row>
    <row r="174" spans="3:21" s="185" customFormat="1" ht="20.25" customHeight="1">
      <c r="C174" s="198"/>
      <c r="D174" s="203">
        <f t="shared" si="24"/>
        <v>174</v>
      </c>
      <c r="E174" s="207" t="s">
        <v>191</v>
      </c>
      <c r="F174" s="211">
        <f t="shared" si="30"/>
        <v>173</v>
      </c>
      <c r="G174" s="206" t="s">
        <v>52</v>
      </c>
      <c r="H174" s="206"/>
      <c r="I174" s="208"/>
      <c r="J174" s="208"/>
      <c r="K174" s="234">
        <v>1</v>
      </c>
      <c r="L174" s="208" t="s">
        <v>81</v>
      </c>
      <c r="M174" s="235">
        <f t="shared" si="36"/>
        <v>1</v>
      </c>
      <c r="N174" s="208" t="s">
        <v>81</v>
      </c>
      <c r="O174" s="218">
        <v>4</v>
      </c>
      <c r="P174" s="208" t="s">
        <v>162</v>
      </c>
      <c r="Q174" s="240">
        <f t="shared" si="31"/>
        <v>4</v>
      </c>
      <c r="R174" s="239"/>
      <c r="S174" s="240">
        <f t="shared" si="32"/>
        <v>4</v>
      </c>
      <c r="T174" s="216" t="s">
        <v>48</v>
      </c>
      <c r="U174" s="196" t="str">
        <f t="shared" si="29"/>
        <v>4 Hrs</v>
      </c>
    </row>
    <row r="175" spans="3:21" s="185" customFormat="1" ht="20.25" customHeight="1">
      <c r="C175" s="198"/>
      <c r="D175" s="203">
        <f t="shared" si="24"/>
        <v>175</v>
      </c>
      <c r="E175" s="207" t="s">
        <v>192</v>
      </c>
      <c r="F175" s="211">
        <f t="shared" si="30"/>
        <v>174</v>
      </c>
      <c r="G175" s="206" t="s">
        <v>44</v>
      </c>
      <c r="H175" s="206"/>
      <c r="I175" s="208"/>
      <c r="J175" s="208"/>
      <c r="K175" s="234">
        <v>1</v>
      </c>
      <c r="L175" s="208" t="s">
        <v>81</v>
      </c>
      <c r="M175" s="235">
        <f t="shared" si="36"/>
        <v>1</v>
      </c>
      <c r="N175" s="208" t="s">
        <v>81</v>
      </c>
      <c r="O175" s="218">
        <v>2</v>
      </c>
      <c r="P175" s="208" t="s">
        <v>162</v>
      </c>
      <c r="Q175" s="240">
        <f t="shared" si="31"/>
        <v>2</v>
      </c>
      <c r="R175" s="239"/>
      <c r="S175" s="240">
        <f t="shared" si="32"/>
        <v>2</v>
      </c>
      <c r="T175" s="216" t="s">
        <v>48</v>
      </c>
      <c r="U175" s="196" t="str">
        <f t="shared" si="29"/>
        <v>2 Hrs</v>
      </c>
    </row>
    <row r="176" spans="3:21" s="185" customFormat="1" ht="20.25" customHeight="1">
      <c r="C176" s="198"/>
      <c r="D176" s="203">
        <f t="shared" si="24"/>
        <v>176</v>
      </c>
      <c r="E176" s="207" t="s">
        <v>193</v>
      </c>
      <c r="F176" s="211">
        <f t="shared" si="30"/>
        <v>175</v>
      </c>
      <c r="G176" s="206" t="s">
        <v>44</v>
      </c>
      <c r="H176" s="206"/>
      <c r="I176" s="208"/>
      <c r="J176" s="208"/>
      <c r="K176" s="234">
        <v>1</v>
      </c>
      <c r="L176" s="208" t="s">
        <v>81</v>
      </c>
      <c r="M176" s="235">
        <f t="shared" si="36"/>
        <v>1</v>
      </c>
      <c r="N176" s="208" t="s">
        <v>81</v>
      </c>
      <c r="O176" s="218">
        <v>1</v>
      </c>
      <c r="P176" s="208" t="s">
        <v>162</v>
      </c>
      <c r="Q176" s="240">
        <f t="shared" si="31"/>
        <v>1</v>
      </c>
      <c r="R176" s="239"/>
      <c r="S176" s="240">
        <f t="shared" si="32"/>
        <v>1</v>
      </c>
      <c r="T176" s="216" t="s">
        <v>48</v>
      </c>
      <c r="U176" s="196" t="str">
        <f t="shared" si="29"/>
        <v>1 Hrs</v>
      </c>
    </row>
    <row r="177" spans="3:21" s="185" customFormat="1" ht="20.25" customHeight="1">
      <c r="C177" s="198">
        <f t="shared" ref="C177:C178" si="37">D177</f>
        <v>177</v>
      </c>
      <c r="D177" s="203">
        <f t="shared" si="24"/>
        <v>177</v>
      </c>
      <c r="E177" s="247" t="s">
        <v>194</v>
      </c>
      <c r="F177" s="210"/>
      <c r="G177" s="206"/>
      <c r="H177" s="206"/>
      <c r="I177" s="208"/>
      <c r="J177" s="208"/>
      <c r="K177" s="234"/>
      <c r="L177" s="208"/>
      <c r="M177" s="217"/>
      <c r="N177" s="208"/>
      <c r="O177" s="218"/>
      <c r="P177" s="208"/>
      <c r="Q177" s="240"/>
      <c r="R177" s="239"/>
      <c r="S177" s="240"/>
      <c r="T177" s="216"/>
      <c r="U177" s="196"/>
    </row>
    <row r="178" spans="3:21" s="185" customFormat="1" ht="20.25" customHeight="1">
      <c r="C178" s="198">
        <f t="shared" si="37"/>
        <v>178</v>
      </c>
      <c r="D178" s="203">
        <f t="shared" si="24"/>
        <v>178</v>
      </c>
      <c r="E178" s="209" t="s">
        <v>195</v>
      </c>
      <c r="F178" s="210">
        <f t="shared" si="30"/>
        <v>177</v>
      </c>
      <c r="G178" s="206"/>
      <c r="H178" s="206"/>
      <c r="I178" s="208"/>
      <c r="J178" s="208"/>
      <c r="K178" s="234"/>
      <c r="L178" s="208"/>
      <c r="M178" s="217"/>
      <c r="N178" s="208"/>
      <c r="O178" s="218"/>
      <c r="P178" s="208"/>
      <c r="Q178" s="240"/>
      <c r="R178" s="239"/>
      <c r="S178" s="240"/>
      <c r="T178" s="216"/>
      <c r="U178" s="196"/>
    </row>
    <row r="179" spans="3:21" s="185" customFormat="1" ht="20.25" customHeight="1">
      <c r="C179" s="198"/>
      <c r="D179" s="203">
        <f t="shared" si="24"/>
        <v>179</v>
      </c>
      <c r="E179" s="207" t="s">
        <v>196</v>
      </c>
      <c r="F179" s="211"/>
      <c r="G179" s="206"/>
      <c r="H179" s="206"/>
      <c r="I179" s="208"/>
      <c r="J179" s="208"/>
      <c r="K179" s="234">
        <v>1</v>
      </c>
      <c r="L179" s="208" t="s">
        <v>81</v>
      </c>
      <c r="M179" s="235">
        <f t="shared" ref="M179" si="38">K179</f>
        <v>1</v>
      </c>
      <c r="N179" s="208" t="s">
        <v>84</v>
      </c>
      <c r="O179" s="218">
        <v>4</v>
      </c>
      <c r="P179" s="208" t="s">
        <v>41</v>
      </c>
      <c r="Q179" s="240">
        <f t="shared" si="31"/>
        <v>4</v>
      </c>
      <c r="R179" s="239"/>
      <c r="S179" s="240">
        <f t="shared" si="32"/>
        <v>4</v>
      </c>
      <c r="T179" s="216" t="s">
        <v>48</v>
      </c>
      <c r="U179" s="196" t="str">
        <f t="shared" si="29"/>
        <v>4 Hrs</v>
      </c>
    </row>
    <row r="180" spans="3:21" s="185" customFormat="1" ht="20.25" customHeight="1">
      <c r="C180" s="198"/>
      <c r="D180" s="203">
        <f t="shared" si="24"/>
        <v>180</v>
      </c>
      <c r="E180" s="207" t="s">
        <v>197</v>
      </c>
      <c r="F180" s="211">
        <f t="shared" si="30"/>
        <v>179</v>
      </c>
      <c r="G180" s="206" t="s">
        <v>44</v>
      </c>
      <c r="H180" s="206"/>
      <c r="I180" s="224">
        <v>14</v>
      </c>
      <c r="J180" s="208"/>
      <c r="K180" s="234">
        <v>19</v>
      </c>
      <c r="L180" s="208" t="s">
        <v>81</v>
      </c>
      <c r="M180" s="217">
        <v>1</v>
      </c>
      <c r="N180" s="208" t="s">
        <v>84</v>
      </c>
      <c r="O180" s="218">
        <v>1</v>
      </c>
      <c r="P180" s="208" t="s">
        <v>41</v>
      </c>
      <c r="Q180" s="240">
        <f t="shared" si="31"/>
        <v>1</v>
      </c>
      <c r="R180" s="239"/>
      <c r="S180" s="240">
        <f t="shared" si="32"/>
        <v>1</v>
      </c>
      <c r="T180" s="216" t="s">
        <v>48</v>
      </c>
      <c r="U180" s="196" t="str">
        <f t="shared" si="29"/>
        <v>1 Hrs</v>
      </c>
    </row>
    <row r="181" spans="3:21" s="185" customFormat="1" ht="20.25" customHeight="1">
      <c r="C181" s="198"/>
      <c r="D181" s="203">
        <f t="shared" si="24"/>
        <v>181</v>
      </c>
      <c r="E181" s="207" t="s">
        <v>198</v>
      </c>
      <c r="F181" s="211">
        <f t="shared" si="30"/>
        <v>180</v>
      </c>
      <c r="G181" s="206" t="s">
        <v>52</v>
      </c>
      <c r="H181" s="206"/>
      <c r="I181" s="208"/>
      <c r="J181" s="208"/>
      <c r="K181" s="234">
        <v>19</v>
      </c>
      <c r="L181" s="208" t="s">
        <v>81</v>
      </c>
      <c r="M181" s="217">
        <v>1</v>
      </c>
      <c r="N181" s="208" t="s">
        <v>84</v>
      </c>
      <c r="O181" s="218">
        <v>5</v>
      </c>
      <c r="P181" s="208" t="s">
        <v>41</v>
      </c>
      <c r="Q181" s="240">
        <f t="shared" si="31"/>
        <v>5</v>
      </c>
      <c r="R181" s="239"/>
      <c r="S181" s="240">
        <f t="shared" si="32"/>
        <v>5</v>
      </c>
      <c r="T181" s="216" t="s">
        <v>48</v>
      </c>
      <c r="U181" s="196" t="str">
        <f t="shared" si="29"/>
        <v>5 Hrs</v>
      </c>
    </row>
    <row r="182" spans="3:21" s="185" customFormat="1" ht="20.25" customHeight="1">
      <c r="C182" s="198">
        <f>D182</f>
        <v>182</v>
      </c>
      <c r="D182" s="203">
        <f t="shared" si="24"/>
        <v>182</v>
      </c>
      <c r="E182" s="209" t="s">
        <v>199</v>
      </c>
      <c r="F182" s="210"/>
      <c r="G182" s="206"/>
      <c r="H182" s="206"/>
      <c r="I182" s="208"/>
      <c r="J182" s="208"/>
      <c r="K182" s="234"/>
      <c r="L182" s="208"/>
      <c r="M182" s="217"/>
      <c r="N182" s="208"/>
      <c r="O182" s="218"/>
      <c r="P182" s="208"/>
      <c r="Q182" s="240"/>
      <c r="R182" s="239"/>
      <c r="S182" s="240"/>
      <c r="T182" s="216"/>
      <c r="U182" s="196"/>
    </row>
    <row r="183" spans="3:21" s="185" customFormat="1" ht="20.25" customHeight="1">
      <c r="C183" s="198"/>
      <c r="D183" s="203">
        <f t="shared" si="24"/>
        <v>183</v>
      </c>
      <c r="E183" s="207" t="s">
        <v>200</v>
      </c>
      <c r="F183" s="211"/>
      <c r="G183" s="206" t="s">
        <v>201</v>
      </c>
      <c r="H183" s="206"/>
      <c r="I183" s="208"/>
      <c r="J183" s="208"/>
      <c r="K183" s="234">
        <v>19</v>
      </c>
      <c r="L183" s="208" t="s">
        <v>81</v>
      </c>
      <c r="M183" s="235">
        <f t="shared" ref="M183" si="39">K183</f>
        <v>19</v>
      </c>
      <c r="N183" s="208" t="s">
        <v>81</v>
      </c>
      <c r="O183" s="218">
        <v>1</v>
      </c>
      <c r="P183" s="208" t="s">
        <v>162</v>
      </c>
      <c r="Q183" s="240">
        <f t="shared" si="31"/>
        <v>19</v>
      </c>
      <c r="R183" s="239"/>
      <c r="S183" s="240">
        <f t="shared" si="32"/>
        <v>19</v>
      </c>
      <c r="T183" s="216" t="s">
        <v>48</v>
      </c>
      <c r="U183" s="196" t="str">
        <f t="shared" si="29"/>
        <v>19 Hrs</v>
      </c>
    </row>
    <row r="184" spans="3:21" s="185" customFormat="1" ht="20.25" customHeight="1">
      <c r="C184" s="198"/>
      <c r="D184" s="203">
        <f t="shared" si="24"/>
        <v>184</v>
      </c>
      <c r="E184" s="207" t="s">
        <v>202</v>
      </c>
      <c r="F184" s="211">
        <f t="shared" si="30"/>
        <v>183</v>
      </c>
      <c r="G184" s="206" t="s">
        <v>44</v>
      </c>
      <c r="H184" s="206"/>
      <c r="I184" s="208"/>
      <c r="J184" s="208" t="s">
        <v>203</v>
      </c>
      <c r="K184" s="234">
        <v>3</v>
      </c>
      <c r="L184" s="208" t="s">
        <v>81</v>
      </c>
      <c r="M184" s="235">
        <v>3</v>
      </c>
      <c r="N184" s="208" t="s">
        <v>81</v>
      </c>
      <c r="O184" s="218">
        <v>2</v>
      </c>
      <c r="P184" s="208" t="s">
        <v>162</v>
      </c>
      <c r="Q184" s="240">
        <f t="shared" si="31"/>
        <v>6</v>
      </c>
      <c r="R184" s="239"/>
      <c r="S184" s="240">
        <f t="shared" si="32"/>
        <v>6</v>
      </c>
      <c r="T184" s="216" t="s">
        <v>48</v>
      </c>
      <c r="U184" s="196" t="str">
        <f t="shared" si="29"/>
        <v>6 Hrs</v>
      </c>
    </row>
    <row r="185" spans="3:21" s="185" customFormat="1" ht="20.25" customHeight="1">
      <c r="C185" s="198">
        <f>D185</f>
        <v>185</v>
      </c>
      <c r="D185" s="203">
        <f t="shared" si="24"/>
        <v>185</v>
      </c>
      <c r="E185" s="209" t="s">
        <v>204</v>
      </c>
      <c r="F185" s="210">
        <f>D182</f>
        <v>182</v>
      </c>
      <c r="G185" s="206"/>
      <c r="H185" s="206"/>
      <c r="I185" s="208"/>
      <c r="J185" s="208"/>
      <c r="K185" s="234"/>
      <c r="L185" s="208"/>
      <c r="M185" s="217"/>
      <c r="N185" s="208"/>
      <c r="O185" s="218"/>
      <c r="P185" s="208"/>
      <c r="Q185" s="240"/>
      <c r="R185" s="239"/>
      <c r="S185" s="240"/>
      <c r="T185" s="216"/>
      <c r="U185" s="196"/>
    </row>
    <row r="186" spans="3:21" s="185" customFormat="1" ht="20.25" customHeight="1">
      <c r="C186" s="198"/>
      <c r="D186" s="203">
        <f t="shared" si="24"/>
        <v>186</v>
      </c>
      <c r="E186" s="207" t="s">
        <v>204</v>
      </c>
      <c r="F186" s="211">
        <f t="shared" si="30"/>
        <v>185</v>
      </c>
      <c r="G186" s="206" t="s">
        <v>55</v>
      </c>
      <c r="H186" s="206"/>
      <c r="I186" s="224" t="s">
        <v>205</v>
      </c>
      <c r="J186" s="208"/>
      <c r="K186" s="234">
        <v>3</v>
      </c>
      <c r="L186" s="208" t="s">
        <v>206</v>
      </c>
      <c r="M186" s="217">
        <v>1</v>
      </c>
      <c r="N186" s="208" t="s">
        <v>84</v>
      </c>
      <c r="O186" s="218">
        <v>10</v>
      </c>
      <c r="P186" s="208" t="s">
        <v>41</v>
      </c>
      <c r="Q186" s="240">
        <f t="shared" si="31"/>
        <v>10</v>
      </c>
      <c r="R186" s="239"/>
      <c r="S186" s="240">
        <f t="shared" si="32"/>
        <v>10</v>
      </c>
      <c r="T186" s="216" t="s">
        <v>42</v>
      </c>
      <c r="U186" s="196" t="str">
        <f t="shared" si="29"/>
        <v>10 Days</v>
      </c>
    </row>
    <row r="187" spans="3:21" s="185" customFormat="1" ht="20.25" customHeight="1">
      <c r="C187" s="198">
        <f>D187</f>
        <v>187</v>
      </c>
      <c r="D187" s="203">
        <f t="shared" si="24"/>
        <v>187</v>
      </c>
      <c r="E187" s="209" t="s">
        <v>207</v>
      </c>
      <c r="F187" s="210">
        <f>D185</f>
        <v>185</v>
      </c>
      <c r="G187" s="206"/>
      <c r="H187" s="206"/>
      <c r="I187" s="208"/>
      <c r="J187" s="208"/>
      <c r="K187" s="234"/>
      <c r="L187" s="208"/>
      <c r="M187" s="217"/>
      <c r="N187" s="208"/>
      <c r="O187" s="218"/>
      <c r="P187" s="208"/>
      <c r="Q187" s="240"/>
      <c r="R187" s="239"/>
      <c r="S187" s="240"/>
      <c r="T187" s="216"/>
      <c r="U187" s="196"/>
    </row>
    <row r="188" spans="3:21" s="185" customFormat="1" ht="20.25" customHeight="1">
      <c r="C188" s="198"/>
      <c r="D188" s="203">
        <f t="shared" si="24"/>
        <v>188</v>
      </c>
      <c r="E188" s="207" t="s">
        <v>208</v>
      </c>
      <c r="F188" s="211"/>
      <c r="G188" s="206" t="s">
        <v>44</v>
      </c>
      <c r="H188" s="206"/>
      <c r="I188" s="208"/>
      <c r="J188" s="208"/>
      <c r="K188" s="234">
        <v>3</v>
      </c>
      <c r="L188" s="208" t="s">
        <v>206</v>
      </c>
      <c r="M188" s="217">
        <v>4</v>
      </c>
      <c r="N188" s="208" t="s">
        <v>206</v>
      </c>
      <c r="O188" s="218">
        <v>6</v>
      </c>
      <c r="P188" s="208" t="s">
        <v>48</v>
      </c>
      <c r="Q188" s="240">
        <f t="shared" si="31"/>
        <v>24</v>
      </c>
      <c r="R188" s="239"/>
      <c r="S188" s="240">
        <f t="shared" si="32"/>
        <v>24</v>
      </c>
      <c r="T188" s="243" t="s">
        <v>48</v>
      </c>
      <c r="U188" s="196" t="str">
        <f t="shared" si="29"/>
        <v>24 Hrs</v>
      </c>
    </row>
    <row r="189" spans="3:21" s="185" customFormat="1" ht="20.25" customHeight="1">
      <c r="C189" s="198"/>
      <c r="D189" s="203">
        <f t="shared" si="24"/>
        <v>189</v>
      </c>
      <c r="E189" s="207" t="s">
        <v>209</v>
      </c>
      <c r="F189" s="211">
        <f t="shared" si="30"/>
        <v>188</v>
      </c>
      <c r="G189" s="206" t="s">
        <v>63</v>
      </c>
      <c r="H189" s="206"/>
      <c r="I189" s="208"/>
      <c r="J189" s="208"/>
      <c r="K189" s="234">
        <v>9</v>
      </c>
      <c r="L189" s="208" t="s">
        <v>81</v>
      </c>
      <c r="M189" s="239">
        <f>1308*9*2</f>
        <v>23544</v>
      </c>
      <c r="N189" s="208" t="s">
        <v>210</v>
      </c>
      <c r="O189" s="246">
        <f>1/100</f>
        <v>0.01</v>
      </c>
      <c r="P189" s="208"/>
      <c r="Q189" s="240">
        <f t="shared" si="31"/>
        <v>235.44</v>
      </c>
      <c r="R189" s="239"/>
      <c r="S189" s="240">
        <f t="shared" si="32"/>
        <v>235.44</v>
      </c>
      <c r="T189" s="216" t="s">
        <v>42</v>
      </c>
      <c r="U189" s="196" t="str">
        <f t="shared" si="29"/>
        <v>235.44 Days</v>
      </c>
    </row>
    <row r="190" spans="3:21" s="185" customFormat="1" ht="20.25" customHeight="1">
      <c r="C190" s="198">
        <f>D190</f>
        <v>190</v>
      </c>
      <c r="D190" s="203">
        <f t="shared" si="24"/>
        <v>190</v>
      </c>
      <c r="E190" s="209" t="s">
        <v>211</v>
      </c>
      <c r="F190" s="210">
        <f>D187</f>
        <v>187</v>
      </c>
      <c r="G190" s="206"/>
      <c r="H190" s="206"/>
      <c r="I190" s="208"/>
      <c r="J190" s="208"/>
      <c r="K190" s="234"/>
      <c r="L190" s="208"/>
      <c r="M190" s="217"/>
      <c r="N190" s="208"/>
      <c r="O190" s="218"/>
      <c r="P190" s="208"/>
      <c r="Q190" s="240"/>
      <c r="R190" s="239"/>
      <c r="S190" s="240"/>
      <c r="T190" s="216"/>
      <c r="U190" s="196"/>
    </row>
    <row r="191" spans="3:21" s="185" customFormat="1" ht="20.25" customHeight="1">
      <c r="C191" s="198"/>
      <c r="D191" s="203">
        <f t="shared" si="24"/>
        <v>191</v>
      </c>
      <c r="E191" s="207" t="s">
        <v>212</v>
      </c>
      <c r="F191" s="211"/>
      <c r="G191" s="206" t="s">
        <v>44</v>
      </c>
      <c r="H191" s="206"/>
      <c r="I191" s="208"/>
      <c r="J191" s="208"/>
      <c r="K191" s="234">
        <v>3</v>
      </c>
      <c r="L191" s="208" t="s">
        <v>81</v>
      </c>
      <c r="M191" s="235">
        <f t="shared" ref="M191" si="40">K191</f>
        <v>3</v>
      </c>
      <c r="N191" s="208" t="s">
        <v>81</v>
      </c>
      <c r="O191" s="218">
        <v>0.25</v>
      </c>
      <c r="P191" s="208" t="s">
        <v>162</v>
      </c>
      <c r="Q191" s="240">
        <f t="shared" si="31"/>
        <v>0.75</v>
      </c>
      <c r="R191" s="239"/>
      <c r="S191" s="240">
        <f t="shared" si="32"/>
        <v>0.75</v>
      </c>
      <c r="T191" s="216" t="s">
        <v>48</v>
      </c>
      <c r="U191" s="196" t="str">
        <f t="shared" si="29"/>
        <v>0.75 Hrs</v>
      </c>
    </row>
    <row r="192" spans="3:21" s="185" customFormat="1" ht="20.25" customHeight="1">
      <c r="C192" s="198"/>
      <c r="D192" s="203">
        <f t="shared" si="24"/>
        <v>192</v>
      </c>
      <c r="E192" s="207" t="s">
        <v>213</v>
      </c>
      <c r="F192" s="211">
        <f t="shared" si="30"/>
        <v>191</v>
      </c>
      <c r="G192" s="206" t="s">
        <v>44</v>
      </c>
      <c r="H192" s="206"/>
      <c r="I192" s="208"/>
      <c r="J192" s="208"/>
      <c r="K192" s="234">
        <v>3</v>
      </c>
      <c r="L192" s="208" t="s">
        <v>81</v>
      </c>
      <c r="M192" s="217">
        <v>1</v>
      </c>
      <c r="N192" s="208" t="s">
        <v>160</v>
      </c>
      <c r="O192" s="218">
        <v>1</v>
      </c>
      <c r="P192" s="208" t="s">
        <v>48</v>
      </c>
      <c r="Q192" s="240">
        <f t="shared" si="31"/>
        <v>1</v>
      </c>
      <c r="R192" s="239"/>
      <c r="S192" s="240">
        <f t="shared" si="32"/>
        <v>1</v>
      </c>
      <c r="T192" s="216" t="s">
        <v>48</v>
      </c>
      <c r="U192" s="196" t="str">
        <f t="shared" si="29"/>
        <v>1 Hrs</v>
      </c>
    </row>
    <row r="193" spans="3:21" s="185" customFormat="1" ht="20.25" customHeight="1">
      <c r="C193" s="198"/>
      <c r="D193" s="203">
        <f t="shared" si="24"/>
        <v>193</v>
      </c>
      <c r="E193" s="207" t="s">
        <v>214</v>
      </c>
      <c r="F193" s="211">
        <f t="shared" si="30"/>
        <v>192</v>
      </c>
      <c r="G193" s="206" t="s">
        <v>55</v>
      </c>
      <c r="H193" s="206"/>
      <c r="I193" s="208"/>
      <c r="J193" s="208"/>
      <c r="K193" s="234">
        <v>3</v>
      </c>
      <c r="L193" s="208" t="s">
        <v>81</v>
      </c>
      <c r="M193" s="217">
        <v>1</v>
      </c>
      <c r="N193" s="208" t="s">
        <v>160</v>
      </c>
      <c r="O193" s="218">
        <v>5</v>
      </c>
      <c r="P193" s="208" t="s">
        <v>41</v>
      </c>
      <c r="Q193" s="240">
        <f t="shared" si="31"/>
        <v>5</v>
      </c>
      <c r="R193" s="239"/>
      <c r="S193" s="240">
        <f t="shared" si="32"/>
        <v>5</v>
      </c>
      <c r="T193" s="216" t="s">
        <v>42</v>
      </c>
      <c r="U193" s="196" t="str">
        <f t="shared" si="29"/>
        <v>5 Days</v>
      </c>
    </row>
    <row r="194" spans="3:21" s="185" customFormat="1" ht="20.25" customHeight="1">
      <c r="C194" s="198"/>
      <c r="D194" s="203">
        <f t="shared" si="24"/>
        <v>194</v>
      </c>
      <c r="E194" s="207" t="s">
        <v>215</v>
      </c>
      <c r="F194" s="211">
        <f t="shared" si="30"/>
        <v>193</v>
      </c>
      <c r="G194" s="206" t="s">
        <v>55</v>
      </c>
      <c r="H194" s="206"/>
      <c r="I194" s="208"/>
      <c r="J194" s="208"/>
      <c r="K194" s="234">
        <v>3</v>
      </c>
      <c r="L194" s="208" t="s">
        <v>81</v>
      </c>
      <c r="M194" s="217">
        <v>1</v>
      </c>
      <c r="N194" s="208" t="s">
        <v>160</v>
      </c>
      <c r="O194" s="218">
        <v>5</v>
      </c>
      <c r="P194" s="208" t="s">
        <v>41</v>
      </c>
      <c r="Q194" s="240">
        <f t="shared" si="31"/>
        <v>5</v>
      </c>
      <c r="R194" s="239"/>
      <c r="S194" s="240">
        <f t="shared" si="32"/>
        <v>5</v>
      </c>
      <c r="T194" s="216" t="s">
        <v>42</v>
      </c>
      <c r="U194" s="196" t="str">
        <f t="shared" si="29"/>
        <v>5 Days</v>
      </c>
    </row>
    <row r="195" spans="3:21" s="185" customFormat="1" ht="20.25" customHeight="1">
      <c r="C195" s="198"/>
      <c r="D195" s="203">
        <f t="shared" ref="D195:D258" si="41">D194+1</f>
        <v>195</v>
      </c>
      <c r="E195" s="207" t="s">
        <v>216</v>
      </c>
      <c r="F195" s="211">
        <f t="shared" si="30"/>
        <v>194</v>
      </c>
      <c r="G195" s="206" t="s">
        <v>217</v>
      </c>
      <c r="H195" s="206"/>
      <c r="I195" s="208"/>
      <c r="J195" s="208"/>
      <c r="K195" s="234">
        <v>3</v>
      </c>
      <c r="L195" s="208" t="s">
        <v>81</v>
      </c>
      <c r="M195" s="217">
        <v>1</v>
      </c>
      <c r="N195" s="208" t="s">
        <v>160</v>
      </c>
      <c r="O195" s="218">
        <v>1</v>
      </c>
      <c r="P195" s="208" t="s">
        <v>41</v>
      </c>
      <c r="Q195" s="240">
        <f t="shared" si="31"/>
        <v>1</v>
      </c>
      <c r="R195" s="239"/>
      <c r="S195" s="240">
        <f t="shared" si="32"/>
        <v>1</v>
      </c>
      <c r="T195" s="216" t="s">
        <v>42</v>
      </c>
      <c r="U195" s="196" t="str">
        <f t="shared" si="29"/>
        <v>1 Days</v>
      </c>
    </row>
    <row r="196" spans="3:21" s="185" customFormat="1" ht="20.25" customHeight="1">
      <c r="C196" s="198">
        <f>D196</f>
        <v>196</v>
      </c>
      <c r="D196" s="203">
        <f t="shared" si="41"/>
        <v>196</v>
      </c>
      <c r="E196" s="209" t="s">
        <v>218</v>
      </c>
      <c r="F196" s="210">
        <f>D190</f>
        <v>190</v>
      </c>
      <c r="G196" s="206"/>
      <c r="H196" s="206"/>
      <c r="I196" s="208"/>
      <c r="J196" s="208"/>
      <c r="K196" s="234"/>
      <c r="L196" s="208"/>
      <c r="M196" s="217"/>
      <c r="N196" s="208"/>
      <c r="O196" s="218"/>
      <c r="P196" s="208"/>
      <c r="Q196" s="240"/>
      <c r="R196" s="239"/>
      <c r="S196" s="240"/>
      <c r="T196" s="216"/>
      <c r="U196" s="196"/>
    </row>
    <row r="197" spans="3:21" s="185" customFormat="1" ht="20.25" customHeight="1">
      <c r="C197" s="198"/>
      <c r="D197" s="203">
        <f t="shared" si="41"/>
        <v>197</v>
      </c>
      <c r="E197" s="207" t="s">
        <v>219</v>
      </c>
      <c r="F197" s="211"/>
      <c r="G197" s="206"/>
      <c r="H197" s="206"/>
      <c r="I197" s="208"/>
      <c r="J197" s="208"/>
      <c r="K197" s="234">
        <v>2</v>
      </c>
      <c r="L197" s="208" t="s">
        <v>81</v>
      </c>
      <c r="M197" s="235">
        <v>1</v>
      </c>
      <c r="N197" s="208" t="s">
        <v>84</v>
      </c>
      <c r="O197" s="218">
        <v>4</v>
      </c>
      <c r="P197" s="208" t="s">
        <v>41</v>
      </c>
      <c r="Q197" s="240">
        <f t="shared" si="31"/>
        <v>4</v>
      </c>
      <c r="R197" s="239"/>
      <c r="S197" s="240">
        <f t="shared" si="32"/>
        <v>4</v>
      </c>
      <c r="T197" s="216" t="s">
        <v>42</v>
      </c>
      <c r="U197" s="196" t="str">
        <f t="shared" si="29"/>
        <v>4 Days</v>
      </c>
    </row>
    <row r="198" spans="3:21" s="185" customFormat="1" ht="20.25" customHeight="1">
      <c r="C198" s="198"/>
      <c r="D198" s="203">
        <f t="shared" si="41"/>
        <v>198</v>
      </c>
      <c r="E198" s="207" t="s">
        <v>220</v>
      </c>
      <c r="F198" s="211">
        <f t="shared" si="30"/>
        <v>197</v>
      </c>
      <c r="G198" s="206" t="s">
        <v>55</v>
      </c>
      <c r="H198" s="206"/>
      <c r="I198" s="224">
        <v>20</v>
      </c>
      <c r="J198" s="208"/>
      <c r="K198" s="234">
        <v>2</v>
      </c>
      <c r="L198" s="208" t="s">
        <v>81</v>
      </c>
      <c r="M198" s="217">
        <v>1</v>
      </c>
      <c r="N198" s="208" t="s">
        <v>84</v>
      </c>
      <c r="O198" s="218">
        <v>1</v>
      </c>
      <c r="P198" s="208" t="s">
        <v>41</v>
      </c>
      <c r="Q198" s="240">
        <f t="shared" si="31"/>
        <v>1</v>
      </c>
      <c r="R198" s="239"/>
      <c r="S198" s="240">
        <f t="shared" si="32"/>
        <v>1</v>
      </c>
      <c r="T198" s="216" t="s">
        <v>42</v>
      </c>
      <c r="U198" s="196" t="str">
        <f t="shared" si="29"/>
        <v>1 Days</v>
      </c>
    </row>
    <row r="199" spans="3:21" s="185" customFormat="1" ht="20.25" customHeight="1">
      <c r="C199" s="198"/>
      <c r="D199" s="203">
        <f t="shared" si="41"/>
        <v>199</v>
      </c>
      <c r="E199" s="207" t="s">
        <v>221</v>
      </c>
      <c r="F199" s="211">
        <f t="shared" si="30"/>
        <v>198</v>
      </c>
      <c r="G199" s="206" t="s">
        <v>55</v>
      </c>
      <c r="H199" s="206"/>
      <c r="I199" s="208"/>
      <c r="J199" s="208"/>
      <c r="K199" s="234">
        <v>2</v>
      </c>
      <c r="L199" s="208" t="s">
        <v>81</v>
      </c>
      <c r="M199" s="217">
        <v>1</v>
      </c>
      <c r="N199" s="208" t="s">
        <v>84</v>
      </c>
      <c r="O199" s="218">
        <v>5</v>
      </c>
      <c r="P199" s="208" t="s">
        <v>41</v>
      </c>
      <c r="Q199" s="240">
        <f t="shared" si="31"/>
        <v>5</v>
      </c>
      <c r="R199" s="239"/>
      <c r="S199" s="240">
        <f t="shared" si="32"/>
        <v>5</v>
      </c>
      <c r="T199" s="216" t="s">
        <v>42</v>
      </c>
      <c r="U199" s="196" t="str">
        <f t="shared" si="29"/>
        <v>5 Days</v>
      </c>
    </row>
    <row r="200" spans="3:21" s="185" customFormat="1" ht="20.25" customHeight="1">
      <c r="C200" s="198">
        <f>D200</f>
        <v>200</v>
      </c>
      <c r="D200" s="203">
        <f t="shared" si="41"/>
        <v>200</v>
      </c>
      <c r="E200" s="209" t="s">
        <v>222</v>
      </c>
      <c r="F200" s="210">
        <f>D196</f>
        <v>196</v>
      </c>
      <c r="G200" s="206"/>
      <c r="H200" s="206"/>
      <c r="I200" s="208"/>
      <c r="J200" s="208"/>
      <c r="K200" s="234"/>
      <c r="L200" s="208"/>
      <c r="M200" s="217"/>
      <c r="N200" s="208"/>
      <c r="O200" s="218"/>
      <c r="P200" s="208"/>
      <c r="Q200" s="240"/>
      <c r="R200" s="239"/>
      <c r="S200" s="240"/>
      <c r="T200" s="216"/>
      <c r="U200" s="196"/>
    </row>
    <row r="201" spans="3:21" s="185" customFormat="1" ht="20.25" customHeight="1">
      <c r="C201" s="198"/>
      <c r="D201" s="203">
        <f t="shared" si="41"/>
        <v>201</v>
      </c>
      <c r="E201" s="207" t="s">
        <v>223</v>
      </c>
      <c r="F201" s="211"/>
      <c r="G201" s="206" t="s">
        <v>224</v>
      </c>
      <c r="H201" s="206"/>
      <c r="I201" s="208"/>
      <c r="J201" s="208"/>
      <c r="K201" s="234">
        <v>2</v>
      </c>
      <c r="L201" s="208" t="s">
        <v>81</v>
      </c>
      <c r="M201" s="235">
        <f t="shared" ref="M201:M202" si="42">K201</f>
        <v>2</v>
      </c>
      <c r="N201" s="208" t="s">
        <v>81</v>
      </c>
      <c r="O201" s="218">
        <v>2</v>
      </c>
      <c r="P201" s="208" t="s">
        <v>162</v>
      </c>
      <c r="Q201" s="240">
        <f t="shared" si="31"/>
        <v>4</v>
      </c>
      <c r="R201" s="239"/>
      <c r="S201" s="240">
        <f t="shared" si="32"/>
        <v>4</v>
      </c>
      <c r="T201" s="243" t="s">
        <v>48</v>
      </c>
      <c r="U201" s="196" t="str">
        <f t="shared" si="29"/>
        <v>4 Hrs</v>
      </c>
    </row>
    <row r="202" spans="3:21" s="185" customFormat="1" ht="20.25" customHeight="1">
      <c r="C202" s="198"/>
      <c r="D202" s="203">
        <f t="shared" si="41"/>
        <v>202</v>
      </c>
      <c r="E202" s="207" t="s">
        <v>225</v>
      </c>
      <c r="F202" s="211">
        <f t="shared" si="30"/>
        <v>201</v>
      </c>
      <c r="G202" s="206" t="s">
        <v>44</v>
      </c>
      <c r="H202" s="206"/>
      <c r="I202" s="208"/>
      <c r="J202" s="208"/>
      <c r="K202" s="234">
        <v>2</v>
      </c>
      <c r="L202" s="208" t="s">
        <v>81</v>
      </c>
      <c r="M202" s="235">
        <f t="shared" si="42"/>
        <v>2</v>
      </c>
      <c r="N202" s="208" t="s">
        <v>81</v>
      </c>
      <c r="O202" s="218">
        <v>0.5</v>
      </c>
      <c r="P202" s="208" t="s">
        <v>162</v>
      </c>
      <c r="Q202" s="240">
        <f t="shared" si="31"/>
        <v>1</v>
      </c>
      <c r="R202" s="239"/>
      <c r="S202" s="240">
        <f t="shared" si="32"/>
        <v>1</v>
      </c>
      <c r="T202" s="243" t="s">
        <v>48</v>
      </c>
      <c r="U202" s="196" t="str">
        <f t="shared" si="29"/>
        <v>1 Hrs</v>
      </c>
    </row>
    <row r="203" spans="3:21" s="185" customFormat="1" ht="20.25" customHeight="1">
      <c r="C203" s="198">
        <f>D203</f>
        <v>203</v>
      </c>
      <c r="D203" s="203">
        <f t="shared" si="41"/>
        <v>203</v>
      </c>
      <c r="E203" s="209" t="s">
        <v>226</v>
      </c>
      <c r="F203" s="210">
        <f>D200</f>
        <v>200</v>
      </c>
      <c r="G203" s="206"/>
      <c r="H203" s="206"/>
      <c r="I203" s="208"/>
      <c r="J203" s="208"/>
      <c r="K203" s="234"/>
      <c r="L203" s="208"/>
      <c r="M203" s="217"/>
      <c r="N203" s="208"/>
      <c r="O203" s="218"/>
      <c r="P203" s="208"/>
      <c r="Q203" s="240"/>
      <c r="R203" s="239"/>
      <c r="S203" s="240"/>
      <c r="T203" s="216"/>
      <c r="U203" s="196"/>
    </row>
    <row r="204" spans="3:21" s="185" customFormat="1" ht="20.25" customHeight="1">
      <c r="C204" s="198"/>
      <c r="D204" s="203">
        <f t="shared" si="41"/>
        <v>204</v>
      </c>
      <c r="E204" s="207" t="s">
        <v>227</v>
      </c>
      <c r="F204" s="211">
        <f t="shared" si="30"/>
        <v>203</v>
      </c>
      <c r="G204" s="206" t="s">
        <v>55</v>
      </c>
      <c r="H204" s="206"/>
      <c r="I204" s="224" t="s">
        <v>228</v>
      </c>
      <c r="J204" s="208"/>
      <c r="K204" s="234">
        <v>1</v>
      </c>
      <c r="L204" s="208" t="s">
        <v>206</v>
      </c>
      <c r="M204" s="217">
        <v>1</v>
      </c>
      <c r="N204" s="208" t="s">
        <v>84</v>
      </c>
      <c r="O204" s="218">
        <v>10</v>
      </c>
      <c r="P204" s="208" t="s">
        <v>41</v>
      </c>
      <c r="Q204" s="240">
        <f t="shared" si="31"/>
        <v>10</v>
      </c>
      <c r="R204" s="239"/>
      <c r="S204" s="240">
        <f t="shared" si="32"/>
        <v>10</v>
      </c>
      <c r="T204" s="216"/>
      <c r="U204" s="196" t="str">
        <f t="shared" si="29"/>
        <v xml:space="preserve">10 </v>
      </c>
    </row>
    <row r="205" spans="3:21" s="185" customFormat="1" ht="20.25" customHeight="1">
      <c r="C205" s="198">
        <f>D205</f>
        <v>205</v>
      </c>
      <c r="D205" s="203">
        <f t="shared" si="41"/>
        <v>205</v>
      </c>
      <c r="E205" s="209" t="s">
        <v>229</v>
      </c>
      <c r="F205" s="210">
        <f>D203</f>
        <v>203</v>
      </c>
      <c r="G205" s="206"/>
      <c r="H205" s="206"/>
      <c r="I205" s="208"/>
      <c r="J205" s="208"/>
      <c r="K205" s="234"/>
      <c r="L205" s="208"/>
      <c r="M205" s="217"/>
      <c r="N205" s="208"/>
      <c r="O205" s="218"/>
      <c r="P205" s="208"/>
      <c r="Q205" s="240"/>
      <c r="R205" s="239"/>
      <c r="S205" s="240"/>
      <c r="T205" s="216"/>
      <c r="U205" s="196"/>
    </row>
    <row r="206" spans="3:21" s="185" customFormat="1" ht="20.25" customHeight="1">
      <c r="C206" s="198"/>
      <c r="D206" s="203">
        <f t="shared" si="41"/>
        <v>206</v>
      </c>
      <c r="E206" s="207" t="s">
        <v>230</v>
      </c>
      <c r="F206" s="211"/>
      <c r="G206" s="206" t="s">
        <v>44</v>
      </c>
      <c r="H206" s="206"/>
      <c r="I206" s="208"/>
      <c r="J206" s="208"/>
      <c r="K206" s="234">
        <v>1</v>
      </c>
      <c r="L206" s="208" t="s">
        <v>206</v>
      </c>
      <c r="M206" s="217">
        <v>1</v>
      </c>
      <c r="N206" s="208" t="s">
        <v>206</v>
      </c>
      <c r="O206" s="218">
        <v>3</v>
      </c>
      <c r="P206" s="208" t="s">
        <v>48</v>
      </c>
      <c r="Q206" s="240">
        <f t="shared" si="31"/>
        <v>3</v>
      </c>
      <c r="R206" s="239"/>
      <c r="S206" s="240">
        <f t="shared" si="32"/>
        <v>3</v>
      </c>
      <c r="T206" s="216" t="s">
        <v>48</v>
      </c>
      <c r="U206" s="196" t="str">
        <f t="shared" si="29"/>
        <v>3 Hrs</v>
      </c>
    </row>
    <row r="207" spans="3:21" s="185" customFormat="1" ht="20.25" customHeight="1">
      <c r="C207" s="198"/>
      <c r="D207" s="203">
        <f t="shared" si="41"/>
        <v>207</v>
      </c>
      <c r="E207" s="207" t="s">
        <v>231</v>
      </c>
      <c r="F207" s="211">
        <f t="shared" si="30"/>
        <v>206</v>
      </c>
      <c r="G207" s="206" t="s">
        <v>63</v>
      </c>
      <c r="H207" s="206"/>
      <c r="I207" s="208"/>
      <c r="J207" s="208"/>
      <c r="K207" s="234">
        <v>2</v>
      </c>
      <c r="L207" s="208" t="s">
        <v>232</v>
      </c>
      <c r="M207" s="235">
        <f>1308*2*1</f>
        <v>2616</v>
      </c>
      <c r="N207" s="208" t="s">
        <v>210</v>
      </c>
      <c r="O207" s="246">
        <f>1/100</f>
        <v>0.01</v>
      </c>
      <c r="P207" s="208"/>
      <c r="Q207" s="240">
        <f t="shared" si="31"/>
        <v>26.16</v>
      </c>
      <c r="R207" s="239"/>
      <c r="S207" s="240">
        <f t="shared" si="32"/>
        <v>26.16</v>
      </c>
      <c r="T207" s="216"/>
      <c r="U207" s="196" t="str">
        <f t="shared" si="29"/>
        <v xml:space="preserve">26.16 </v>
      </c>
    </row>
    <row r="208" spans="3:21" s="185" customFormat="1" ht="20.25" customHeight="1">
      <c r="C208" s="198">
        <f>D208</f>
        <v>208</v>
      </c>
      <c r="D208" s="203">
        <f t="shared" si="41"/>
        <v>208</v>
      </c>
      <c r="E208" s="209" t="s">
        <v>233</v>
      </c>
      <c r="F208" s="210">
        <f>D22</f>
        <v>22</v>
      </c>
      <c r="G208" s="206"/>
      <c r="H208" s="206"/>
      <c r="I208" s="208"/>
      <c r="J208" s="208"/>
      <c r="K208" s="234"/>
      <c r="L208" s="208"/>
      <c r="M208" s="217"/>
      <c r="N208" s="208"/>
      <c r="O208" s="218"/>
      <c r="P208" s="208"/>
      <c r="Q208" s="240"/>
      <c r="R208" s="239"/>
      <c r="S208" s="240"/>
      <c r="T208" s="216"/>
      <c r="U208" s="196"/>
    </row>
    <row r="209" spans="3:21" s="185" customFormat="1" ht="20.25" customHeight="1">
      <c r="C209" s="198"/>
      <c r="D209" s="203">
        <f t="shared" si="41"/>
        <v>209</v>
      </c>
      <c r="E209" s="207" t="s">
        <v>234</v>
      </c>
      <c r="F209" s="211"/>
      <c r="G209" s="206"/>
      <c r="H209" s="206"/>
      <c r="I209" s="208"/>
      <c r="J209" s="208"/>
      <c r="K209" s="234">
        <v>1</v>
      </c>
      <c r="L209" s="208" t="s">
        <v>81</v>
      </c>
      <c r="M209" s="235">
        <f t="shared" ref="M209:M212" si="43">K209</f>
        <v>1</v>
      </c>
      <c r="N209" s="208" t="s">
        <v>84</v>
      </c>
      <c r="O209" s="218">
        <v>4</v>
      </c>
      <c r="P209" s="208" t="s">
        <v>41</v>
      </c>
      <c r="Q209" s="240">
        <f t="shared" si="31"/>
        <v>4</v>
      </c>
      <c r="R209" s="239"/>
      <c r="S209" s="240">
        <f t="shared" si="32"/>
        <v>4</v>
      </c>
      <c r="T209" s="216" t="s">
        <v>42</v>
      </c>
      <c r="U209" s="196" t="str">
        <f t="shared" si="29"/>
        <v>4 Days</v>
      </c>
    </row>
    <row r="210" spans="3:21" s="185" customFormat="1" ht="20.25" customHeight="1">
      <c r="C210" s="198"/>
      <c r="D210" s="203">
        <f t="shared" si="41"/>
        <v>210</v>
      </c>
      <c r="E210" s="207" t="s">
        <v>235</v>
      </c>
      <c r="F210" s="211">
        <f t="shared" si="30"/>
        <v>209</v>
      </c>
      <c r="G210" s="206" t="s">
        <v>44</v>
      </c>
      <c r="H210" s="206"/>
      <c r="I210" s="208"/>
      <c r="J210" s="208"/>
      <c r="K210" s="234">
        <v>22</v>
      </c>
      <c r="L210" s="208" t="s">
        <v>81</v>
      </c>
      <c r="M210" s="217">
        <f t="shared" si="43"/>
        <v>22</v>
      </c>
      <c r="N210" s="208" t="s">
        <v>236</v>
      </c>
      <c r="O210" s="218">
        <v>0.25</v>
      </c>
      <c r="P210" s="208" t="s">
        <v>162</v>
      </c>
      <c r="Q210" s="240">
        <f t="shared" si="31"/>
        <v>5.5</v>
      </c>
      <c r="R210" s="239"/>
      <c r="S210" s="240">
        <f t="shared" si="32"/>
        <v>5.5</v>
      </c>
      <c r="T210" s="216" t="s">
        <v>48</v>
      </c>
      <c r="U210" s="196" t="str">
        <f t="shared" si="29"/>
        <v>5.5 Hrs</v>
      </c>
    </row>
    <row r="211" spans="3:21" s="185" customFormat="1" ht="20.25" customHeight="1">
      <c r="C211" s="198"/>
      <c r="D211" s="203">
        <f t="shared" si="41"/>
        <v>211</v>
      </c>
      <c r="E211" s="207" t="s">
        <v>237</v>
      </c>
      <c r="F211" s="211">
        <f t="shared" si="30"/>
        <v>210</v>
      </c>
      <c r="G211" s="206" t="s">
        <v>238</v>
      </c>
      <c r="H211" s="206"/>
      <c r="I211" s="208"/>
      <c r="J211" s="208"/>
      <c r="K211" s="234">
        <v>22</v>
      </c>
      <c r="L211" s="208" t="s">
        <v>81</v>
      </c>
      <c r="M211" s="217">
        <f t="shared" si="43"/>
        <v>22</v>
      </c>
      <c r="N211" s="208" t="s">
        <v>81</v>
      </c>
      <c r="O211" s="218">
        <v>0.45</v>
      </c>
      <c r="P211" s="208" t="s">
        <v>162</v>
      </c>
      <c r="Q211" s="240">
        <f t="shared" si="31"/>
        <v>9.9</v>
      </c>
      <c r="R211" s="239"/>
      <c r="S211" s="240">
        <f t="shared" si="32"/>
        <v>9.9</v>
      </c>
      <c r="T211" s="216" t="s">
        <v>48</v>
      </c>
      <c r="U211" s="196" t="str">
        <f t="shared" si="29"/>
        <v>9.9 Hrs</v>
      </c>
    </row>
    <row r="212" spans="3:21" s="185" customFormat="1" ht="20.25" customHeight="1">
      <c r="C212" s="198"/>
      <c r="D212" s="203">
        <f t="shared" si="41"/>
        <v>212</v>
      </c>
      <c r="E212" s="207" t="s">
        <v>239</v>
      </c>
      <c r="F212" s="211">
        <f t="shared" si="30"/>
        <v>211</v>
      </c>
      <c r="G212" s="206" t="s">
        <v>240</v>
      </c>
      <c r="H212" s="206"/>
      <c r="I212" s="208"/>
      <c r="J212" s="208"/>
      <c r="K212" s="234">
        <v>22</v>
      </c>
      <c r="L212" s="208" t="s">
        <v>81</v>
      </c>
      <c r="M212" s="217">
        <f t="shared" si="43"/>
        <v>22</v>
      </c>
      <c r="N212" s="208" t="s">
        <v>81</v>
      </c>
      <c r="O212" s="218">
        <v>0.5</v>
      </c>
      <c r="P212" s="208" t="s">
        <v>162</v>
      </c>
      <c r="Q212" s="240">
        <f t="shared" si="31"/>
        <v>11</v>
      </c>
      <c r="R212" s="239"/>
      <c r="S212" s="240">
        <f t="shared" si="32"/>
        <v>11</v>
      </c>
      <c r="T212" s="216" t="s">
        <v>48</v>
      </c>
      <c r="U212" s="196" t="str">
        <f t="shared" si="29"/>
        <v>11 Hrs</v>
      </c>
    </row>
    <row r="213" spans="3:21" s="185" customFormat="1" ht="20.25" customHeight="1">
      <c r="C213" s="198">
        <f>D213</f>
        <v>213</v>
      </c>
      <c r="D213" s="203">
        <f t="shared" si="41"/>
        <v>213</v>
      </c>
      <c r="E213" s="209" t="s">
        <v>241</v>
      </c>
      <c r="F213" s="210">
        <f>D21</f>
        <v>21</v>
      </c>
      <c r="G213" s="206"/>
      <c r="H213" s="206"/>
      <c r="I213" s="208"/>
      <c r="J213" s="208"/>
      <c r="K213" s="234"/>
      <c r="L213" s="208"/>
      <c r="M213" s="217"/>
      <c r="N213" s="208"/>
      <c r="O213" s="218"/>
      <c r="P213" s="208"/>
      <c r="Q213" s="240"/>
      <c r="R213" s="239"/>
      <c r="S213" s="240"/>
      <c r="T213" s="216"/>
      <c r="U213" s="196"/>
    </row>
    <row r="214" spans="3:21" s="185" customFormat="1" ht="20.25" customHeight="1">
      <c r="C214" s="198"/>
      <c r="D214" s="203">
        <f t="shared" si="41"/>
        <v>214</v>
      </c>
      <c r="E214" s="207" t="s">
        <v>242</v>
      </c>
      <c r="F214" s="211"/>
      <c r="G214" s="206"/>
      <c r="H214" s="206"/>
      <c r="I214" s="208"/>
      <c r="J214" s="208"/>
      <c r="K214" s="234">
        <v>1</v>
      </c>
      <c r="L214" s="208" t="s">
        <v>81</v>
      </c>
      <c r="M214" s="235">
        <f t="shared" ref="M214:M217" si="44">K214</f>
        <v>1</v>
      </c>
      <c r="N214" s="208" t="s">
        <v>84</v>
      </c>
      <c r="O214" s="218">
        <v>4</v>
      </c>
      <c r="P214" s="208" t="s">
        <v>41</v>
      </c>
      <c r="Q214" s="240">
        <f t="shared" si="31"/>
        <v>4</v>
      </c>
      <c r="R214" s="239"/>
      <c r="S214" s="240">
        <f t="shared" si="32"/>
        <v>4</v>
      </c>
      <c r="T214" s="216" t="s">
        <v>48</v>
      </c>
      <c r="U214" s="196" t="str">
        <f t="shared" si="29"/>
        <v>4 Hrs</v>
      </c>
    </row>
    <row r="215" spans="3:21" s="185" customFormat="1" ht="20.25" customHeight="1">
      <c r="C215" s="198"/>
      <c r="D215" s="203">
        <f t="shared" si="41"/>
        <v>215</v>
      </c>
      <c r="E215" s="207" t="s">
        <v>243</v>
      </c>
      <c r="F215" s="211">
        <f t="shared" si="30"/>
        <v>214</v>
      </c>
      <c r="G215" s="206" t="s">
        <v>44</v>
      </c>
      <c r="H215" s="206"/>
      <c r="I215" s="208"/>
      <c r="J215" s="208"/>
      <c r="K215" s="234">
        <v>414</v>
      </c>
      <c r="L215" s="208" t="s">
        <v>81</v>
      </c>
      <c r="M215" s="217">
        <f t="shared" si="44"/>
        <v>414</v>
      </c>
      <c r="N215" s="208" t="s">
        <v>236</v>
      </c>
      <c r="O215" s="218">
        <v>0.1</v>
      </c>
      <c r="P215" s="208" t="s">
        <v>162</v>
      </c>
      <c r="Q215" s="240">
        <f t="shared" si="31"/>
        <v>41.400000000000006</v>
      </c>
      <c r="R215" s="239"/>
      <c r="S215" s="240">
        <f t="shared" si="32"/>
        <v>41.4</v>
      </c>
      <c r="T215" s="216" t="s">
        <v>48</v>
      </c>
      <c r="U215" s="196" t="str">
        <f t="shared" si="29"/>
        <v>41.4 Hrs</v>
      </c>
    </row>
    <row r="216" spans="3:21" s="185" customFormat="1" ht="20.25" customHeight="1">
      <c r="C216" s="198"/>
      <c r="D216" s="203">
        <f t="shared" si="41"/>
        <v>216</v>
      </c>
      <c r="E216" s="207" t="s">
        <v>244</v>
      </c>
      <c r="F216" s="211">
        <f t="shared" si="30"/>
        <v>215</v>
      </c>
      <c r="G216" s="206" t="s">
        <v>238</v>
      </c>
      <c r="H216" s="206"/>
      <c r="I216" s="208"/>
      <c r="J216" s="208"/>
      <c r="K216" s="234">
        <v>414</v>
      </c>
      <c r="L216" s="208" t="s">
        <v>81</v>
      </c>
      <c r="M216" s="217">
        <f t="shared" si="44"/>
        <v>414</v>
      </c>
      <c r="N216" s="208" t="s">
        <v>236</v>
      </c>
      <c r="O216" s="218">
        <v>0.1</v>
      </c>
      <c r="P216" s="208" t="s">
        <v>162</v>
      </c>
      <c r="Q216" s="240">
        <f t="shared" si="31"/>
        <v>41.400000000000006</v>
      </c>
      <c r="R216" s="239"/>
      <c r="S216" s="240">
        <f t="shared" si="32"/>
        <v>41.4</v>
      </c>
      <c r="T216" s="216" t="s">
        <v>48</v>
      </c>
      <c r="U216" s="196" t="str">
        <f t="shared" si="29"/>
        <v>41.4 Hrs</v>
      </c>
    </row>
    <row r="217" spans="3:21" s="185" customFormat="1" ht="20.25" customHeight="1">
      <c r="C217" s="198"/>
      <c r="D217" s="203">
        <f t="shared" si="41"/>
        <v>217</v>
      </c>
      <c r="E217" s="207" t="s">
        <v>245</v>
      </c>
      <c r="F217" s="211">
        <f t="shared" si="30"/>
        <v>216</v>
      </c>
      <c r="G217" s="206" t="s">
        <v>217</v>
      </c>
      <c r="H217" s="206"/>
      <c r="I217" s="208"/>
      <c r="J217" s="208"/>
      <c r="K217" s="234">
        <v>414</v>
      </c>
      <c r="L217" s="208" t="s">
        <v>81</v>
      </c>
      <c r="M217" s="217">
        <f t="shared" si="44"/>
        <v>414</v>
      </c>
      <c r="N217" s="208" t="s">
        <v>81</v>
      </c>
      <c r="O217" s="246">
        <f>1/60</f>
        <v>1.6666666666666666E-2</v>
      </c>
      <c r="P217" s="208" t="s">
        <v>162</v>
      </c>
      <c r="Q217" s="240">
        <f t="shared" si="31"/>
        <v>6.8999999999999995</v>
      </c>
      <c r="R217" s="239"/>
      <c r="S217" s="240">
        <f t="shared" si="32"/>
        <v>6.9</v>
      </c>
      <c r="T217" s="216" t="s">
        <v>48</v>
      </c>
      <c r="U217" s="196" t="str">
        <f t="shared" si="29"/>
        <v>6.9 Hrs</v>
      </c>
    </row>
    <row r="218" spans="3:21" s="185" customFormat="1" ht="20.25" customHeight="1">
      <c r="C218" s="198">
        <f>D218</f>
        <v>218</v>
      </c>
      <c r="D218" s="203">
        <f t="shared" si="41"/>
        <v>218</v>
      </c>
      <c r="E218" s="209" t="s">
        <v>246</v>
      </c>
      <c r="F218" s="210">
        <f>D16</f>
        <v>16</v>
      </c>
      <c r="G218" s="206"/>
      <c r="H218" s="206"/>
      <c r="I218" s="208"/>
      <c r="J218" s="208"/>
      <c r="K218" s="234"/>
      <c r="L218" s="208"/>
      <c r="M218" s="217"/>
      <c r="N218" s="208"/>
      <c r="O218" s="218"/>
      <c r="P218" s="208"/>
      <c r="Q218" s="240"/>
      <c r="R218" s="239"/>
      <c r="S218" s="240"/>
      <c r="T218" s="216"/>
      <c r="U218" s="196"/>
    </row>
    <row r="219" spans="3:21" s="185" customFormat="1" ht="20.25" customHeight="1">
      <c r="C219" s="198"/>
      <c r="D219" s="203">
        <f t="shared" si="41"/>
        <v>219</v>
      </c>
      <c r="E219" s="207" t="s">
        <v>247</v>
      </c>
      <c r="F219" s="211"/>
      <c r="G219" s="206" t="s">
        <v>44</v>
      </c>
      <c r="H219" s="206"/>
      <c r="I219" s="224">
        <v>8</v>
      </c>
      <c r="J219" s="234" t="s">
        <v>248</v>
      </c>
      <c r="K219" s="234">
        <v>2</v>
      </c>
      <c r="L219" s="208" t="s">
        <v>81</v>
      </c>
      <c r="M219" s="227">
        <f>LEFT(J219,SEARCH(" ",J219,1)-1)*K219*0.001</f>
        <v>19.044</v>
      </c>
      <c r="N219" s="208" t="s">
        <v>249</v>
      </c>
      <c r="O219" s="246">
        <f>VLOOKUP(I219,BM!$A$2:$X$104,2,FALSE)</f>
        <v>0.1</v>
      </c>
      <c r="P219" s="208" t="s">
        <v>162</v>
      </c>
      <c r="Q219" s="240">
        <f t="shared" si="31"/>
        <v>1.9044000000000001</v>
      </c>
      <c r="R219" s="239"/>
      <c r="S219" s="240">
        <f t="shared" si="32"/>
        <v>1.9</v>
      </c>
      <c r="T219" s="216" t="s">
        <v>48</v>
      </c>
      <c r="U219" s="196" t="str">
        <f t="shared" si="29"/>
        <v>1.9 Hrs</v>
      </c>
    </row>
    <row r="220" spans="3:21" s="185" customFormat="1" ht="20.25" customHeight="1">
      <c r="C220" s="198"/>
      <c r="D220" s="203">
        <f t="shared" si="41"/>
        <v>220</v>
      </c>
      <c r="E220" s="207" t="s">
        <v>250</v>
      </c>
      <c r="F220" s="211">
        <f t="shared" si="30"/>
        <v>219</v>
      </c>
      <c r="G220" s="206" t="s">
        <v>52</v>
      </c>
      <c r="H220" s="206"/>
      <c r="I220" s="224">
        <v>25</v>
      </c>
      <c r="J220" s="208" t="str">
        <f t="shared" ref="J220:J224" si="45">J219</f>
        <v>9522 mm</v>
      </c>
      <c r="K220" s="234">
        <v>2</v>
      </c>
      <c r="L220" s="208" t="s">
        <v>81</v>
      </c>
      <c r="M220" s="227">
        <f>LEFT(J220,SEARCH(" ",J220,1)-1)*K220*0.001</f>
        <v>19.044</v>
      </c>
      <c r="N220" s="208" t="s">
        <v>249</v>
      </c>
      <c r="O220" s="246">
        <f>VLOOKUP(I220,BM!$A$2:$X$104,3,FALSE)</f>
        <v>0.25</v>
      </c>
      <c r="P220" s="208" t="s">
        <v>162</v>
      </c>
      <c r="Q220" s="240">
        <f t="shared" si="31"/>
        <v>4.7610000000000001</v>
      </c>
      <c r="R220" s="239"/>
      <c r="S220" s="240">
        <f t="shared" si="32"/>
        <v>4.76</v>
      </c>
      <c r="T220" s="216" t="s">
        <v>48</v>
      </c>
      <c r="U220" s="196" t="str">
        <f t="shared" ref="U220:U282" si="46">CONCATENATE(S220," ",T220)</f>
        <v>4.76 Hrs</v>
      </c>
    </row>
    <row r="221" spans="3:21" s="185" customFormat="1" ht="20.25" customHeight="1">
      <c r="C221" s="198"/>
      <c r="D221" s="203">
        <f t="shared" si="41"/>
        <v>221</v>
      </c>
      <c r="E221" s="207" t="s">
        <v>251</v>
      </c>
      <c r="F221" s="211">
        <f t="shared" ref="F221:F282" si="47">D220</f>
        <v>220</v>
      </c>
      <c r="G221" s="206" t="s">
        <v>201</v>
      </c>
      <c r="H221" s="206"/>
      <c r="I221" s="224">
        <v>25</v>
      </c>
      <c r="J221" s="208" t="str">
        <f t="shared" si="45"/>
        <v>9522 mm</v>
      </c>
      <c r="K221" s="234">
        <v>2</v>
      </c>
      <c r="L221" s="208" t="s">
        <v>81</v>
      </c>
      <c r="M221" s="235">
        <f>K221</f>
        <v>2</v>
      </c>
      <c r="N221" s="208" t="s">
        <v>81</v>
      </c>
      <c r="O221" s="218">
        <v>2</v>
      </c>
      <c r="P221" s="208" t="s">
        <v>162</v>
      </c>
      <c r="Q221" s="240">
        <f t="shared" ref="Q221:Q282" si="48">M221*O221</f>
        <v>4</v>
      </c>
      <c r="R221" s="239"/>
      <c r="S221" s="240">
        <f t="shared" ref="S221:S284" si="49">ROUND(Q221+R221,2)</f>
        <v>4</v>
      </c>
      <c r="T221" s="216" t="s">
        <v>48</v>
      </c>
      <c r="U221" s="196" t="str">
        <f t="shared" si="46"/>
        <v>4 Hrs</v>
      </c>
    </row>
    <row r="222" spans="3:21" s="185" customFormat="1" ht="20.25" customHeight="1">
      <c r="C222" s="198"/>
      <c r="D222" s="203">
        <f t="shared" si="41"/>
        <v>222</v>
      </c>
      <c r="E222" s="207" t="s">
        <v>252</v>
      </c>
      <c r="F222" s="211">
        <f t="shared" si="47"/>
        <v>221</v>
      </c>
      <c r="G222" s="206" t="s">
        <v>61</v>
      </c>
      <c r="H222" s="206"/>
      <c r="I222" s="224">
        <v>25</v>
      </c>
      <c r="J222" s="208" t="str">
        <f t="shared" si="45"/>
        <v>9522 mm</v>
      </c>
      <c r="K222" s="234">
        <v>2</v>
      </c>
      <c r="L222" s="208" t="s">
        <v>81</v>
      </c>
      <c r="M222" s="217">
        <v>4</v>
      </c>
      <c r="N222" s="208" t="s">
        <v>81</v>
      </c>
      <c r="O222" s="218">
        <v>4</v>
      </c>
      <c r="P222" s="208" t="s">
        <v>162</v>
      </c>
      <c r="Q222" s="240">
        <f t="shared" si="48"/>
        <v>16</v>
      </c>
      <c r="R222" s="239"/>
      <c r="S222" s="240">
        <f t="shared" si="49"/>
        <v>16</v>
      </c>
      <c r="T222" s="216" t="s">
        <v>48</v>
      </c>
      <c r="U222" s="196" t="str">
        <f t="shared" si="46"/>
        <v>16 Hrs</v>
      </c>
    </row>
    <row r="223" spans="3:21" s="185" customFormat="1" ht="20.25" customHeight="1">
      <c r="C223" s="198"/>
      <c r="D223" s="203">
        <f t="shared" si="41"/>
        <v>223</v>
      </c>
      <c r="E223" s="207" t="s">
        <v>253</v>
      </c>
      <c r="F223" s="211">
        <f t="shared" si="47"/>
        <v>222</v>
      </c>
      <c r="G223" s="206" t="s">
        <v>240</v>
      </c>
      <c r="H223" s="206"/>
      <c r="I223" s="224">
        <v>25</v>
      </c>
      <c r="J223" s="208" t="str">
        <f t="shared" si="45"/>
        <v>9522 mm</v>
      </c>
      <c r="K223" s="234">
        <v>2</v>
      </c>
      <c r="L223" s="208" t="s">
        <v>81</v>
      </c>
      <c r="M223" s="217">
        <v>4</v>
      </c>
      <c r="N223" s="208" t="s">
        <v>81</v>
      </c>
      <c r="O223" s="218">
        <v>1</v>
      </c>
      <c r="P223" s="208" t="s">
        <v>162</v>
      </c>
      <c r="Q223" s="240">
        <f t="shared" si="48"/>
        <v>4</v>
      </c>
      <c r="R223" s="239"/>
      <c r="S223" s="240">
        <f t="shared" si="49"/>
        <v>4</v>
      </c>
      <c r="T223" s="216" t="s">
        <v>48</v>
      </c>
      <c r="U223" s="196" t="str">
        <f t="shared" si="46"/>
        <v>4 Hrs</v>
      </c>
    </row>
    <row r="224" spans="3:21" s="185" customFormat="1" ht="20.25" customHeight="1">
      <c r="C224" s="198"/>
      <c r="D224" s="203">
        <f t="shared" si="41"/>
        <v>224</v>
      </c>
      <c r="E224" s="207" t="s">
        <v>254</v>
      </c>
      <c r="F224" s="211">
        <f t="shared" si="47"/>
        <v>223</v>
      </c>
      <c r="G224" s="206" t="s">
        <v>61</v>
      </c>
      <c r="H224" s="206"/>
      <c r="I224" s="224">
        <v>25</v>
      </c>
      <c r="J224" s="208" t="str">
        <f t="shared" si="45"/>
        <v>9522 mm</v>
      </c>
      <c r="K224" s="234">
        <v>2</v>
      </c>
      <c r="L224" s="208" t="s">
        <v>81</v>
      </c>
      <c r="M224" s="217">
        <v>4</v>
      </c>
      <c r="N224" s="208" t="s">
        <v>81</v>
      </c>
      <c r="O224" s="218">
        <v>1</v>
      </c>
      <c r="P224" s="208" t="s">
        <v>162</v>
      </c>
      <c r="Q224" s="240">
        <f t="shared" si="48"/>
        <v>4</v>
      </c>
      <c r="R224" s="239"/>
      <c r="S224" s="240">
        <f t="shared" si="49"/>
        <v>4</v>
      </c>
      <c r="T224" s="216" t="s">
        <v>48</v>
      </c>
      <c r="U224" s="196" t="str">
        <f t="shared" si="46"/>
        <v>4 Hrs</v>
      </c>
    </row>
    <row r="225" spans="3:21" s="185" customFormat="1" ht="20.25" customHeight="1">
      <c r="C225" s="198">
        <f>D225</f>
        <v>225</v>
      </c>
      <c r="D225" s="203">
        <f t="shared" si="41"/>
        <v>225</v>
      </c>
      <c r="E225" s="209" t="s">
        <v>255</v>
      </c>
      <c r="F225" s="210">
        <f>D17</f>
        <v>17</v>
      </c>
      <c r="G225" s="206"/>
      <c r="H225" s="206"/>
      <c r="I225" s="208"/>
      <c r="J225" s="208"/>
      <c r="K225" s="234"/>
      <c r="L225" s="208"/>
      <c r="M225" s="217"/>
      <c r="N225" s="208"/>
      <c r="O225" s="218"/>
      <c r="P225" s="208"/>
      <c r="Q225" s="240"/>
      <c r="R225" s="239"/>
      <c r="S225" s="240"/>
      <c r="T225" s="216"/>
      <c r="U225" s="196"/>
    </row>
    <row r="226" spans="3:21" s="185" customFormat="1" ht="20.25" customHeight="1">
      <c r="C226" s="198"/>
      <c r="D226" s="203">
        <f t="shared" si="41"/>
        <v>226</v>
      </c>
      <c r="E226" s="207" t="s">
        <v>256</v>
      </c>
      <c r="F226" s="211"/>
      <c r="G226" s="206" t="s">
        <v>44</v>
      </c>
      <c r="H226" s="206"/>
      <c r="I226" s="224">
        <v>8</v>
      </c>
      <c r="J226" s="234" t="s">
        <v>257</v>
      </c>
      <c r="K226" s="234">
        <v>2</v>
      </c>
      <c r="L226" s="208" t="s">
        <v>81</v>
      </c>
      <c r="M226" s="227">
        <f>LEFT(J226,SEARCH(" ",J226,1)-1)*K226*0.001</f>
        <v>26.731999999999999</v>
      </c>
      <c r="N226" s="208" t="s">
        <v>249</v>
      </c>
      <c r="O226" s="246">
        <f>VLOOKUP(I226,BM!$A$2:$X$104,2,FALSE)</f>
        <v>0.1</v>
      </c>
      <c r="P226" s="208" t="s">
        <v>162</v>
      </c>
      <c r="Q226" s="240">
        <f t="shared" si="48"/>
        <v>2.6732</v>
      </c>
      <c r="R226" s="239"/>
      <c r="S226" s="240">
        <f t="shared" si="49"/>
        <v>2.67</v>
      </c>
      <c r="T226" s="216" t="s">
        <v>48</v>
      </c>
      <c r="U226" s="196" t="str">
        <f t="shared" si="46"/>
        <v>2.67 Hrs</v>
      </c>
    </row>
    <row r="227" spans="3:21" s="185" customFormat="1" ht="20.25" customHeight="1">
      <c r="C227" s="198"/>
      <c r="D227" s="203">
        <f t="shared" si="41"/>
        <v>227</v>
      </c>
      <c r="E227" s="207" t="s">
        <v>258</v>
      </c>
      <c r="F227" s="211">
        <f t="shared" si="47"/>
        <v>226</v>
      </c>
      <c r="G227" s="206" t="s">
        <v>52</v>
      </c>
      <c r="H227" s="206"/>
      <c r="I227" s="233">
        <f t="shared" ref="I227:K231" si="50">I226</f>
        <v>8</v>
      </c>
      <c r="J227" s="211" t="str">
        <f t="shared" si="50"/>
        <v>13366 mm</v>
      </c>
      <c r="K227" s="225">
        <f t="shared" si="50"/>
        <v>2</v>
      </c>
      <c r="L227" s="208" t="s">
        <v>81</v>
      </c>
      <c r="M227" s="227">
        <f>LEFT(J227,SEARCH(" ",J227,1)-1)*K227*0.001</f>
        <v>26.731999999999999</v>
      </c>
      <c r="N227" s="208" t="s">
        <v>249</v>
      </c>
      <c r="O227" s="246">
        <f>VLOOKUP(I227,BM!$A$2:$X$104,3,FALSE)</f>
        <v>0.25</v>
      </c>
      <c r="P227" s="208" t="s">
        <v>162</v>
      </c>
      <c r="Q227" s="240">
        <f t="shared" si="48"/>
        <v>6.6829999999999998</v>
      </c>
      <c r="R227" s="239"/>
      <c r="S227" s="240">
        <f t="shared" si="49"/>
        <v>6.68</v>
      </c>
      <c r="T227" s="216" t="s">
        <v>48</v>
      </c>
      <c r="U227" s="196" t="str">
        <f t="shared" si="46"/>
        <v>6.68 Hrs</v>
      </c>
    </row>
    <row r="228" spans="3:21" s="185" customFormat="1" ht="20.25" customHeight="1">
      <c r="C228" s="198"/>
      <c r="D228" s="203">
        <f t="shared" si="41"/>
        <v>228</v>
      </c>
      <c r="E228" s="207" t="s">
        <v>259</v>
      </c>
      <c r="F228" s="211">
        <f t="shared" si="47"/>
        <v>227</v>
      </c>
      <c r="G228" s="206" t="s">
        <v>201</v>
      </c>
      <c r="H228" s="206"/>
      <c r="I228" s="233">
        <f t="shared" si="50"/>
        <v>8</v>
      </c>
      <c r="J228" s="211" t="str">
        <f t="shared" si="50"/>
        <v>13366 mm</v>
      </c>
      <c r="K228" s="225">
        <f t="shared" si="50"/>
        <v>2</v>
      </c>
      <c r="L228" s="208" t="s">
        <v>81</v>
      </c>
      <c r="M228" s="235">
        <f>K228</f>
        <v>2</v>
      </c>
      <c r="N228" s="208" t="s">
        <v>81</v>
      </c>
      <c r="O228" s="218">
        <v>2</v>
      </c>
      <c r="P228" s="208" t="s">
        <v>162</v>
      </c>
      <c r="Q228" s="240">
        <f t="shared" si="48"/>
        <v>4</v>
      </c>
      <c r="R228" s="239"/>
      <c r="S228" s="240">
        <f t="shared" si="49"/>
        <v>4</v>
      </c>
      <c r="T228" s="216" t="s">
        <v>48</v>
      </c>
      <c r="U228" s="196" t="str">
        <f t="shared" si="46"/>
        <v>4 Hrs</v>
      </c>
    </row>
    <row r="229" spans="3:21" s="185" customFormat="1" ht="20.25" customHeight="1">
      <c r="C229" s="198"/>
      <c r="D229" s="203">
        <f t="shared" si="41"/>
        <v>229</v>
      </c>
      <c r="E229" s="207" t="s">
        <v>260</v>
      </c>
      <c r="F229" s="211">
        <f t="shared" si="47"/>
        <v>228</v>
      </c>
      <c r="G229" s="206" t="s">
        <v>61</v>
      </c>
      <c r="H229" s="206"/>
      <c r="I229" s="233">
        <f t="shared" si="50"/>
        <v>8</v>
      </c>
      <c r="J229" s="211" t="str">
        <f t="shared" si="50"/>
        <v>13366 mm</v>
      </c>
      <c r="K229" s="225">
        <f t="shared" si="50"/>
        <v>2</v>
      </c>
      <c r="L229" s="208" t="s">
        <v>81</v>
      </c>
      <c r="M229" s="217">
        <v>4</v>
      </c>
      <c r="N229" s="208" t="s">
        <v>81</v>
      </c>
      <c r="O229" s="218">
        <v>4</v>
      </c>
      <c r="P229" s="208" t="s">
        <v>162</v>
      </c>
      <c r="Q229" s="240">
        <f t="shared" si="48"/>
        <v>16</v>
      </c>
      <c r="R229" s="239"/>
      <c r="S229" s="240">
        <f t="shared" si="49"/>
        <v>16</v>
      </c>
      <c r="T229" s="216" t="s">
        <v>48</v>
      </c>
      <c r="U229" s="196" t="str">
        <f t="shared" si="46"/>
        <v>16 Hrs</v>
      </c>
    </row>
    <row r="230" spans="3:21" s="185" customFormat="1" ht="20.25" customHeight="1">
      <c r="C230" s="198"/>
      <c r="D230" s="203">
        <f t="shared" si="41"/>
        <v>230</v>
      </c>
      <c r="E230" s="207" t="s">
        <v>261</v>
      </c>
      <c r="F230" s="211">
        <f t="shared" si="47"/>
        <v>229</v>
      </c>
      <c r="G230" s="206" t="s">
        <v>240</v>
      </c>
      <c r="H230" s="206"/>
      <c r="I230" s="233">
        <f t="shared" si="50"/>
        <v>8</v>
      </c>
      <c r="J230" s="211" t="str">
        <f t="shared" si="50"/>
        <v>13366 mm</v>
      </c>
      <c r="K230" s="225">
        <f t="shared" si="50"/>
        <v>2</v>
      </c>
      <c r="L230" s="208" t="s">
        <v>81</v>
      </c>
      <c r="M230" s="217">
        <v>4</v>
      </c>
      <c r="N230" s="208" t="s">
        <v>81</v>
      </c>
      <c r="O230" s="218">
        <v>1</v>
      </c>
      <c r="P230" s="208" t="s">
        <v>162</v>
      </c>
      <c r="Q230" s="240">
        <f t="shared" si="48"/>
        <v>4</v>
      </c>
      <c r="R230" s="239"/>
      <c r="S230" s="240">
        <f t="shared" si="49"/>
        <v>4</v>
      </c>
      <c r="T230" s="216" t="s">
        <v>48</v>
      </c>
      <c r="U230" s="196" t="str">
        <f t="shared" si="46"/>
        <v>4 Hrs</v>
      </c>
    </row>
    <row r="231" spans="3:21" s="185" customFormat="1" ht="20.25" customHeight="1">
      <c r="C231" s="198"/>
      <c r="D231" s="203">
        <f t="shared" si="41"/>
        <v>231</v>
      </c>
      <c r="E231" s="207" t="s">
        <v>262</v>
      </c>
      <c r="F231" s="211">
        <f t="shared" si="47"/>
        <v>230</v>
      </c>
      <c r="G231" s="206" t="s">
        <v>61</v>
      </c>
      <c r="H231" s="206"/>
      <c r="I231" s="233">
        <f t="shared" si="50"/>
        <v>8</v>
      </c>
      <c r="J231" s="211" t="str">
        <f t="shared" si="50"/>
        <v>13366 mm</v>
      </c>
      <c r="K231" s="225">
        <f t="shared" si="50"/>
        <v>2</v>
      </c>
      <c r="L231" s="208" t="s">
        <v>81</v>
      </c>
      <c r="M231" s="217">
        <v>4</v>
      </c>
      <c r="N231" s="208" t="s">
        <v>81</v>
      </c>
      <c r="O231" s="218">
        <v>1</v>
      </c>
      <c r="P231" s="208" t="s">
        <v>162</v>
      </c>
      <c r="Q231" s="240">
        <f t="shared" si="48"/>
        <v>4</v>
      </c>
      <c r="R231" s="239"/>
      <c r="S231" s="240">
        <f t="shared" si="49"/>
        <v>4</v>
      </c>
      <c r="T231" s="216" t="s">
        <v>48</v>
      </c>
      <c r="U231" s="196" t="str">
        <f t="shared" si="46"/>
        <v>4 Hrs</v>
      </c>
    </row>
    <row r="232" spans="3:21" s="185" customFormat="1" ht="20.25" customHeight="1">
      <c r="C232" s="198">
        <f>D232</f>
        <v>232</v>
      </c>
      <c r="D232" s="203">
        <f t="shared" si="41"/>
        <v>232</v>
      </c>
      <c r="E232" s="209" t="s">
        <v>263</v>
      </c>
      <c r="F232" s="210">
        <f>D18</f>
        <v>18</v>
      </c>
      <c r="G232" s="206"/>
      <c r="H232" s="206"/>
      <c r="I232" s="208"/>
      <c r="J232" s="208"/>
      <c r="K232" s="234"/>
      <c r="L232" s="208"/>
      <c r="M232" s="217"/>
      <c r="N232" s="208"/>
      <c r="O232" s="218"/>
      <c r="P232" s="208"/>
      <c r="Q232" s="240"/>
      <c r="R232" s="239"/>
      <c r="S232" s="240"/>
      <c r="T232" s="216"/>
      <c r="U232" s="196"/>
    </row>
    <row r="233" spans="3:21" s="185" customFormat="1" ht="20.25" customHeight="1">
      <c r="C233" s="198"/>
      <c r="D233" s="203">
        <f t="shared" si="41"/>
        <v>233</v>
      </c>
      <c r="E233" s="207" t="s">
        <v>264</v>
      </c>
      <c r="F233" s="211"/>
      <c r="G233" s="206" t="s">
        <v>37</v>
      </c>
      <c r="H233" s="206"/>
      <c r="I233" s="208"/>
      <c r="J233" s="208"/>
      <c r="K233" s="234">
        <v>1</v>
      </c>
      <c r="L233" s="208" t="s">
        <v>84</v>
      </c>
      <c r="M233" s="217">
        <v>1</v>
      </c>
      <c r="N233" s="208"/>
      <c r="O233" s="218">
        <v>4</v>
      </c>
      <c r="P233" s="208" t="s">
        <v>41</v>
      </c>
      <c r="Q233" s="240">
        <f t="shared" si="48"/>
        <v>4</v>
      </c>
      <c r="R233" s="239"/>
      <c r="S233" s="240">
        <f t="shared" si="49"/>
        <v>4</v>
      </c>
      <c r="T233" s="216" t="s">
        <v>42</v>
      </c>
      <c r="U233" s="196" t="str">
        <f t="shared" si="46"/>
        <v>4 Days</v>
      </c>
    </row>
    <row r="234" spans="3:21" s="185" customFormat="1" ht="20.25" customHeight="1">
      <c r="C234" s="198"/>
      <c r="D234" s="203">
        <f t="shared" si="41"/>
        <v>234</v>
      </c>
      <c r="E234" s="207" t="s">
        <v>265</v>
      </c>
      <c r="F234" s="211">
        <f t="shared" si="47"/>
        <v>233</v>
      </c>
      <c r="G234" s="206" t="s">
        <v>44</v>
      </c>
      <c r="H234" s="206"/>
      <c r="I234" s="224" t="s">
        <v>266</v>
      </c>
      <c r="J234" s="225">
        <v>14</v>
      </c>
      <c r="K234" s="234">
        <v>14</v>
      </c>
      <c r="L234" s="208" t="s">
        <v>81</v>
      </c>
      <c r="M234" s="235">
        <f>K234</f>
        <v>14</v>
      </c>
      <c r="N234" s="208" t="s">
        <v>81</v>
      </c>
      <c r="O234" s="218">
        <v>0.25</v>
      </c>
      <c r="P234" s="208" t="s">
        <v>162</v>
      </c>
      <c r="Q234" s="240">
        <f t="shared" si="48"/>
        <v>3.5</v>
      </c>
      <c r="R234" s="239"/>
      <c r="S234" s="240">
        <f t="shared" si="49"/>
        <v>3.5</v>
      </c>
      <c r="T234" s="216" t="s">
        <v>48</v>
      </c>
      <c r="U234" s="196" t="str">
        <f t="shared" si="46"/>
        <v>3.5 Hrs</v>
      </c>
    </row>
    <row r="235" spans="3:21" s="185" customFormat="1" ht="20.25" customHeight="1">
      <c r="C235" s="198"/>
      <c r="D235" s="203">
        <f t="shared" si="41"/>
        <v>235</v>
      </c>
      <c r="E235" s="207" t="s">
        <v>267</v>
      </c>
      <c r="F235" s="211">
        <f t="shared" si="47"/>
        <v>234</v>
      </c>
      <c r="G235" s="206" t="s">
        <v>44</v>
      </c>
      <c r="H235" s="206"/>
      <c r="I235" s="233" t="str">
        <f t="shared" ref="I235:K236" si="51">I234</f>
        <v>25.4 dia</v>
      </c>
      <c r="J235" s="211">
        <f>J234</f>
        <v>14</v>
      </c>
      <c r="K235" s="225">
        <f t="shared" si="51"/>
        <v>14</v>
      </c>
      <c r="L235" s="208" t="s">
        <v>81</v>
      </c>
      <c r="M235" s="235">
        <f>K235</f>
        <v>14</v>
      </c>
      <c r="N235" s="208" t="s">
        <v>81</v>
      </c>
      <c r="O235" s="218">
        <v>0.5</v>
      </c>
      <c r="P235" s="208" t="s">
        <v>162</v>
      </c>
      <c r="Q235" s="240">
        <f t="shared" si="48"/>
        <v>7</v>
      </c>
      <c r="R235" s="239"/>
      <c r="S235" s="240">
        <f t="shared" si="49"/>
        <v>7</v>
      </c>
      <c r="T235" s="216" t="s">
        <v>48</v>
      </c>
      <c r="U235" s="196" t="str">
        <f t="shared" si="46"/>
        <v>7 Hrs</v>
      </c>
    </row>
    <row r="236" spans="3:21" s="185" customFormat="1" ht="20.25" customHeight="1">
      <c r="C236" s="198"/>
      <c r="D236" s="203">
        <f t="shared" si="41"/>
        <v>236</v>
      </c>
      <c r="E236" s="207" t="s">
        <v>268</v>
      </c>
      <c r="F236" s="211">
        <f t="shared" si="47"/>
        <v>235</v>
      </c>
      <c r="G236" s="206" t="s">
        <v>201</v>
      </c>
      <c r="H236" s="206"/>
      <c r="I236" s="233" t="str">
        <f t="shared" si="51"/>
        <v>25.4 dia</v>
      </c>
      <c r="J236" s="211">
        <f>J235</f>
        <v>14</v>
      </c>
      <c r="K236" s="225">
        <f t="shared" si="51"/>
        <v>14</v>
      </c>
      <c r="L236" s="208" t="s">
        <v>81</v>
      </c>
      <c r="M236" s="235">
        <f>K236</f>
        <v>14</v>
      </c>
      <c r="N236" s="208" t="s">
        <v>81</v>
      </c>
      <c r="O236" s="218">
        <v>1</v>
      </c>
      <c r="P236" s="208" t="s">
        <v>162</v>
      </c>
      <c r="Q236" s="240">
        <f t="shared" si="48"/>
        <v>14</v>
      </c>
      <c r="R236" s="239"/>
      <c r="S236" s="240">
        <f t="shared" si="49"/>
        <v>14</v>
      </c>
      <c r="T236" s="216" t="s">
        <v>48</v>
      </c>
      <c r="U236" s="196" t="str">
        <f t="shared" si="46"/>
        <v>14 Hrs</v>
      </c>
    </row>
    <row r="237" spans="3:21" s="185" customFormat="1" ht="20.25" customHeight="1">
      <c r="C237" s="198">
        <f t="shared" ref="C237:C238" si="52">D237</f>
        <v>237</v>
      </c>
      <c r="D237" s="203">
        <f t="shared" si="41"/>
        <v>237</v>
      </c>
      <c r="E237" s="248" t="s">
        <v>269</v>
      </c>
      <c r="F237" s="211">
        <f t="shared" si="47"/>
        <v>236</v>
      </c>
      <c r="G237" s="206"/>
      <c r="H237" s="206"/>
      <c r="I237" s="208"/>
      <c r="J237" s="208"/>
      <c r="K237" s="234"/>
      <c r="L237" s="208"/>
      <c r="M237" s="217"/>
      <c r="N237" s="208"/>
      <c r="O237" s="218"/>
      <c r="P237" s="208"/>
      <c r="Q237" s="240"/>
      <c r="R237" s="239"/>
      <c r="S237" s="240"/>
      <c r="T237" s="216"/>
      <c r="U237" s="196"/>
    </row>
    <row r="238" spans="3:21" s="185" customFormat="1" ht="20.25" customHeight="1">
      <c r="C238" s="198">
        <f t="shared" si="52"/>
        <v>238</v>
      </c>
      <c r="D238" s="203">
        <f t="shared" si="41"/>
        <v>238</v>
      </c>
      <c r="E238" s="209" t="s">
        <v>270</v>
      </c>
      <c r="F238" s="210">
        <f>D3</f>
        <v>3</v>
      </c>
      <c r="G238" s="206"/>
      <c r="H238" s="206"/>
      <c r="I238" s="208"/>
      <c r="J238" s="208"/>
      <c r="K238" s="234"/>
      <c r="L238" s="208"/>
      <c r="M238" s="217"/>
      <c r="N238" s="208"/>
      <c r="O238" s="218"/>
      <c r="P238" s="208"/>
      <c r="Q238" s="240"/>
      <c r="R238" s="239"/>
      <c r="S238" s="240"/>
      <c r="T238" s="216"/>
      <c r="U238" s="196"/>
    </row>
    <row r="239" spans="3:21" s="185" customFormat="1" ht="20.25" customHeight="1">
      <c r="C239" s="198"/>
      <c r="D239" s="203">
        <f t="shared" si="41"/>
        <v>239</v>
      </c>
      <c r="E239" s="207" t="s">
        <v>271</v>
      </c>
      <c r="F239" s="211"/>
      <c r="G239" s="206" t="s">
        <v>37</v>
      </c>
      <c r="H239" s="206"/>
      <c r="I239" s="208"/>
      <c r="J239" s="208"/>
      <c r="K239" s="234">
        <v>1</v>
      </c>
      <c r="L239" s="208" t="s">
        <v>84</v>
      </c>
      <c r="M239" s="217">
        <v>1</v>
      </c>
      <c r="N239" s="208"/>
      <c r="O239" s="218">
        <v>4</v>
      </c>
      <c r="P239" s="208" t="s">
        <v>41</v>
      </c>
      <c r="Q239" s="240">
        <f t="shared" si="48"/>
        <v>4</v>
      </c>
      <c r="R239" s="239"/>
      <c r="S239" s="240">
        <f t="shared" si="49"/>
        <v>4</v>
      </c>
      <c r="T239" s="216" t="s">
        <v>42</v>
      </c>
      <c r="U239" s="196" t="str">
        <f t="shared" si="46"/>
        <v>4 Days</v>
      </c>
    </row>
    <row r="240" spans="3:21" s="185" customFormat="1" ht="20.25" customHeight="1">
      <c r="C240" s="198"/>
      <c r="D240" s="203">
        <f t="shared" si="41"/>
        <v>240</v>
      </c>
      <c r="E240" s="207" t="s">
        <v>272</v>
      </c>
      <c r="F240" s="211">
        <f t="shared" si="47"/>
        <v>239</v>
      </c>
      <c r="G240" s="206" t="s">
        <v>201</v>
      </c>
      <c r="H240" s="206"/>
      <c r="I240" s="224">
        <v>18</v>
      </c>
      <c r="J240" s="225" t="s">
        <v>273</v>
      </c>
      <c r="K240" s="234">
        <v>1</v>
      </c>
      <c r="L240" s="208" t="s">
        <v>81</v>
      </c>
      <c r="M240" s="227">
        <f>LEFT(J240,SEARCH(" ",J240,1)-1)*K240*0.001</f>
        <v>43</v>
      </c>
      <c r="N240" s="208" t="s">
        <v>139</v>
      </c>
      <c r="O240" s="246">
        <f>VLOOKUP(I240,BM!$A$2:$X$104,2,FALSE)</f>
        <v>0.1</v>
      </c>
      <c r="P240" s="208" t="s">
        <v>112</v>
      </c>
      <c r="Q240" s="240">
        <f t="shared" si="48"/>
        <v>4.3</v>
      </c>
      <c r="R240" s="239">
        <v>1</v>
      </c>
      <c r="S240" s="240">
        <f t="shared" si="49"/>
        <v>5.3</v>
      </c>
      <c r="T240" s="216" t="s">
        <v>48</v>
      </c>
      <c r="U240" s="196" t="str">
        <f t="shared" si="46"/>
        <v>5.3 Hrs</v>
      </c>
    </row>
    <row r="241" spans="3:21" s="185" customFormat="1" ht="20.25" customHeight="1">
      <c r="C241" s="198">
        <f>D241</f>
        <v>241</v>
      </c>
      <c r="D241" s="203">
        <f t="shared" si="41"/>
        <v>241</v>
      </c>
      <c r="E241" s="209" t="s">
        <v>274</v>
      </c>
      <c r="F241" s="210">
        <f>D238</f>
        <v>238</v>
      </c>
      <c r="G241" s="206"/>
      <c r="H241" s="206"/>
      <c r="I241" s="208"/>
      <c r="J241" s="208"/>
      <c r="K241" s="234"/>
      <c r="L241" s="208"/>
      <c r="M241" s="217"/>
      <c r="N241" s="208"/>
      <c r="O241" s="218"/>
      <c r="P241" s="208"/>
      <c r="Q241" s="240"/>
      <c r="R241" s="239"/>
      <c r="S241" s="240"/>
      <c r="T241" s="216"/>
      <c r="U241" s="196"/>
    </row>
    <row r="242" spans="3:21" s="185" customFormat="1" ht="20.25" customHeight="1">
      <c r="C242" s="198"/>
      <c r="D242" s="203">
        <f t="shared" si="41"/>
        <v>242</v>
      </c>
      <c r="E242" s="207" t="s">
        <v>275</v>
      </c>
      <c r="F242" s="211"/>
      <c r="G242" s="206" t="s">
        <v>276</v>
      </c>
      <c r="H242" s="206"/>
      <c r="I242" s="224">
        <v>18</v>
      </c>
      <c r="J242" s="225" t="s">
        <v>273</v>
      </c>
      <c r="K242" s="234">
        <v>3</v>
      </c>
      <c r="L242" s="208" t="s">
        <v>81</v>
      </c>
      <c r="M242" s="227">
        <f>LEFT(J242,SEARCH(" ",J242,1)-1)*K242*0.001</f>
        <v>129</v>
      </c>
      <c r="N242" s="208" t="s">
        <v>139</v>
      </c>
      <c r="O242" s="246">
        <f>VLOOKUP(I242,BM!$A$2:$X$104,3,FALSE)</f>
        <v>0.25</v>
      </c>
      <c r="P242" s="208" t="s">
        <v>112</v>
      </c>
      <c r="Q242" s="240">
        <f t="shared" si="48"/>
        <v>32.25</v>
      </c>
      <c r="R242" s="239">
        <v>1</v>
      </c>
      <c r="S242" s="240">
        <f t="shared" si="49"/>
        <v>33.25</v>
      </c>
      <c r="T242" s="216" t="s">
        <v>48</v>
      </c>
      <c r="U242" s="196" t="str">
        <f t="shared" si="46"/>
        <v>33.25 Hrs</v>
      </c>
    </row>
    <row r="243" spans="3:21" s="185" customFormat="1" ht="20.25" customHeight="1">
      <c r="C243" s="198">
        <f>D243</f>
        <v>243</v>
      </c>
      <c r="D243" s="203">
        <f t="shared" si="41"/>
        <v>243</v>
      </c>
      <c r="E243" s="209" t="s">
        <v>277</v>
      </c>
      <c r="F243" s="210">
        <f>D241</f>
        <v>241</v>
      </c>
      <c r="G243" s="206"/>
      <c r="H243" s="206"/>
      <c r="I243" s="208"/>
      <c r="J243" s="208"/>
      <c r="K243" s="234"/>
      <c r="L243" s="208"/>
      <c r="M243" s="217"/>
      <c r="N243" s="208"/>
      <c r="O243" s="218"/>
      <c r="P243" s="208"/>
      <c r="Q243" s="240"/>
      <c r="R243" s="239"/>
      <c r="S243" s="240"/>
      <c r="T243" s="216"/>
      <c r="U243" s="196"/>
    </row>
    <row r="244" spans="3:21" s="185" customFormat="1" ht="20.25" customHeight="1">
      <c r="C244" s="198"/>
      <c r="D244" s="203">
        <f t="shared" si="41"/>
        <v>244</v>
      </c>
      <c r="E244" s="207" t="s">
        <v>278</v>
      </c>
      <c r="F244" s="211"/>
      <c r="G244" s="206" t="s">
        <v>224</v>
      </c>
      <c r="H244" s="206"/>
      <c r="I244" s="224">
        <v>18</v>
      </c>
      <c r="J244" s="234" t="s">
        <v>279</v>
      </c>
      <c r="K244" s="234">
        <v>1</v>
      </c>
      <c r="L244" s="208" t="s">
        <v>81</v>
      </c>
      <c r="M244" s="227">
        <f>LEFT(J244,SEARCH(" ",J244,1)-1)*K244*0.001</f>
        <v>2.5</v>
      </c>
      <c r="N244" s="208" t="s">
        <v>139</v>
      </c>
      <c r="O244" s="246">
        <f>VLOOKUP(I244,BM!$A$2:$X$104,5,FALSE)</f>
        <v>0.5</v>
      </c>
      <c r="P244" s="208" t="s">
        <v>112</v>
      </c>
      <c r="Q244" s="240">
        <f t="shared" si="48"/>
        <v>1.25</v>
      </c>
      <c r="R244" s="239">
        <v>1</v>
      </c>
      <c r="S244" s="240">
        <f t="shared" si="49"/>
        <v>2.25</v>
      </c>
      <c r="T244" s="216" t="s">
        <v>48</v>
      </c>
      <c r="U244" s="196" t="str">
        <f t="shared" si="46"/>
        <v>2.25 Hrs</v>
      </c>
    </row>
    <row r="245" spans="3:21" s="185" customFormat="1" ht="20.25" customHeight="1">
      <c r="C245" s="198"/>
      <c r="D245" s="203">
        <f t="shared" si="41"/>
        <v>245</v>
      </c>
      <c r="E245" s="207" t="s">
        <v>278</v>
      </c>
      <c r="F245" s="211">
        <f t="shared" si="47"/>
        <v>244</v>
      </c>
      <c r="G245" s="206" t="s">
        <v>224</v>
      </c>
      <c r="H245" s="206"/>
      <c r="I245" s="233">
        <f>I244</f>
        <v>18</v>
      </c>
      <c r="J245" s="225" t="s">
        <v>279</v>
      </c>
      <c r="K245" s="234">
        <v>1</v>
      </c>
      <c r="L245" s="208" t="s">
        <v>81</v>
      </c>
      <c r="M245" s="227">
        <f>LEFT(J245,SEARCH(" ",J245,1)-1)*K245*0.001</f>
        <v>2.5</v>
      </c>
      <c r="N245" s="208" t="s">
        <v>139</v>
      </c>
      <c r="O245" s="246">
        <f>VLOOKUP(I245,BM!$A$2:$X$104,5,FALSE)</f>
        <v>0.5</v>
      </c>
      <c r="P245" s="208" t="s">
        <v>112</v>
      </c>
      <c r="Q245" s="240">
        <f t="shared" si="48"/>
        <v>1.25</v>
      </c>
      <c r="R245" s="239">
        <v>1</v>
      </c>
      <c r="S245" s="240">
        <f t="shared" si="49"/>
        <v>2.25</v>
      </c>
      <c r="T245" s="216" t="s">
        <v>48</v>
      </c>
      <c r="U245" s="196" t="str">
        <f t="shared" si="46"/>
        <v>2.25 Hrs</v>
      </c>
    </row>
    <row r="246" spans="3:21" s="185" customFormat="1" ht="20.25" customHeight="1">
      <c r="C246" s="198"/>
      <c r="D246" s="203">
        <f t="shared" si="41"/>
        <v>246</v>
      </c>
      <c r="E246" s="207" t="s">
        <v>278</v>
      </c>
      <c r="F246" s="211">
        <f t="shared" si="47"/>
        <v>245</v>
      </c>
      <c r="G246" s="206" t="s">
        <v>224</v>
      </c>
      <c r="H246" s="206"/>
      <c r="I246" s="233">
        <f>I245</f>
        <v>18</v>
      </c>
      <c r="J246" s="234" t="s">
        <v>280</v>
      </c>
      <c r="K246" s="234">
        <v>1</v>
      </c>
      <c r="L246" s="208" t="s">
        <v>81</v>
      </c>
      <c r="M246" s="227">
        <f t="shared" ref="M246:M247" si="53">LEFT(J246,SEARCH(" ",J246,1)-1)*K246*0.001</f>
        <v>1.25</v>
      </c>
      <c r="N246" s="208" t="s">
        <v>139</v>
      </c>
      <c r="O246" s="246">
        <f>VLOOKUP(I246,BM!$A$2:$X$104,5,FALSE)</f>
        <v>0.5</v>
      </c>
      <c r="P246" s="208" t="s">
        <v>112</v>
      </c>
      <c r="Q246" s="240">
        <f t="shared" si="48"/>
        <v>0.625</v>
      </c>
      <c r="R246" s="239">
        <v>1</v>
      </c>
      <c r="S246" s="240">
        <f t="shared" si="49"/>
        <v>1.63</v>
      </c>
      <c r="T246" s="216" t="s">
        <v>48</v>
      </c>
      <c r="U246" s="196" t="str">
        <f t="shared" si="46"/>
        <v>1.63 Hrs</v>
      </c>
    </row>
    <row r="247" spans="3:21" s="185" customFormat="1" ht="20.25" customHeight="1">
      <c r="C247" s="198"/>
      <c r="D247" s="203">
        <f t="shared" si="41"/>
        <v>247</v>
      </c>
      <c r="E247" s="207" t="s">
        <v>278</v>
      </c>
      <c r="F247" s="211">
        <f t="shared" si="47"/>
        <v>246</v>
      </c>
      <c r="G247" s="206" t="s">
        <v>224</v>
      </c>
      <c r="H247" s="206"/>
      <c r="I247" s="233">
        <f>I246</f>
        <v>18</v>
      </c>
      <c r="J247" s="234" t="s">
        <v>281</v>
      </c>
      <c r="K247" s="234">
        <v>1</v>
      </c>
      <c r="L247" s="208" t="s">
        <v>81</v>
      </c>
      <c r="M247" s="227">
        <f t="shared" si="53"/>
        <v>0</v>
      </c>
      <c r="N247" s="208" t="s">
        <v>139</v>
      </c>
      <c r="O247" s="246">
        <f>VLOOKUP(I247,BM!$A$2:$X$104,5,FALSE)</f>
        <v>0.5</v>
      </c>
      <c r="P247" s="208" t="s">
        <v>112</v>
      </c>
      <c r="Q247" s="240">
        <f t="shared" si="48"/>
        <v>0</v>
      </c>
      <c r="R247" s="239"/>
      <c r="S247" s="240"/>
      <c r="T247" s="216" t="s">
        <v>48</v>
      </c>
      <c r="U247" s="196"/>
    </row>
    <row r="248" spans="3:21" s="185" customFormat="1" ht="20.25" customHeight="1">
      <c r="C248" s="198">
        <f>D248</f>
        <v>248</v>
      </c>
      <c r="D248" s="203">
        <f t="shared" si="41"/>
        <v>248</v>
      </c>
      <c r="E248" s="209" t="s">
        <v>282</v>
      </c>
      <c r="F248" s="210">
        <f>D243</f>
        <v>243</v>
      </c>
      <c r="G248" s="206"/>
      <c r="H248" s="206"/>
      <c r="I248" s="208"/>
      <c r="J248" s="208"/>
      <c r="K248" s="234"/>
      <c r="L248" s="208"/>
      <c r="M248" s="217"/>
      <c r="N248" s="208"/>
      <c r="O248" s="218"/>
      <c r="P248" s="208"/>
      <c r="Q248" s="240"/>
      <c r="R248" s="239"/>
      <c r="S248" s="240"/>
      <c r="T248" s="216"/>
      <c r="U248" s="196"/>
    </row>
    <row r="249" spans="3:21" s="185" customFormat="1" ht="20.25" customHeight="1">
      <c r="C249" s="198"/>
      <c r="D249" s="203">
        <f t="shared" si="41"/>
        <v>249</v>
      </c>
      <c r="E249" s="207" t="s">
        <v>283</v>
      </c>
      <c r="F249" s="211"/>
      <c r="G249" s="206" t="s">
        <v>121</v>
      </c>
      <c r="H249" s="206"/>
      <c r="I249" s="233">
        <f>I247</f>
        <v>18</v>
      </c>
      <c r="J249" s="211" t="str">
        <f t="shared" ref="J249:K252" si="54">J244</f>
        <v>2500 mm</v>
      </c>
      <c r="K249" s="225">
        <f t="shared" si="54"/>
        <v>1</v>
      </c>
      <c r="L249" s="208" t="s">
        <v>81</v>
      </c>
      <c r="M249" s="227">
        <f t="shared" ref="M249:M252" si="55">LEFT(J249,SEARCH(" ",J249,1)-1)*K249*0.001</f>
        <v>2.5</v>
      </c>
      <c r="N249" s="208" t="s">
        <v>139</v>
      </c>
      <c r="O249" s="246">
        <f>VLOOKUP(I249,BM!$A$2:$X$104,6,FALSE)</f>
        <v>1</v>
      </c>
      <c r="P249" s="208" t="s">
        <v>112</v>
      </c>
      <c r="Q249" s="240">
        <f t="shared" si="48"/>
        <v>2.5</v>
      </c>
      <c r="R249" s="239">
        <v>1</v>
      </c>
      <c r="S249" s="240">
        <f t="shared" si="49"/>
        <v>3.5</v>
      </c>
      <c r="T249" s="216" t="s">
        <v>48</v>
      </c>
      <c r="U249" s="196" t="str">
        <f t="shared" si="46"/>
        <v>3.5 Hrs</v>
      </c>
    </row>
    <row r="250" spans="3:21" s="185" customFormat="1" ht="20.25" customHeight="1">
      <c r="C250" s="198"/>
      <c r="D250" s="203">
        <f t="shared" si="41"/>
        <v>250</v>
      </c>
      <c r="E250" s="207" t="s">
        <v>283</v>
      </c>
      <c r="F250" s="211">
        <f t="shared" si="47"/>
        <v>249</v>
      </c>
      <c r="G250" s="206" t="s">
        <v>121</v>
      </c>
      <c r="H250" s="206"/>
      <c r="I250" s="233">
        <f>I247</f>
        <v>18</v>
      </c>
      <c r="J250" s="211" t="str">
        <f t="shared" si="54"/>
        <v>2500 mm</v>
      </c>
      <c r="K250" s="225">
        <f t="shared" si="54"/>
        <v>1</v>
      </c>
      <c r="L250" s="208" t="s">
        <v>81</v>
      </c>
      <c r="M250" s="227">
        <f t="shared" si="55"/>
        <v>2.5</v>
      </c>
      <c r="N250" s="208" t="s">
        <v>139</v>
      </c>
      <c r="O250" s="246">
        <f>VLOOKUP(I250,BM!$A$2:$X$104,6,FALSE)</f>
        <v>1</v>
      </c>
      <c r="P250" s="208" t="s">
        <v>112</v>
      </c>
      <c r="Q250" s="240">
        <f t="shared" si="48"/>
        <v>2.5</v>
      </c>
      <c r="R250" s="239">
        <v>1</v>
      </c>
      <c r="S250" s="240">
        <f t="shared" si="49"/>
        <v>3.5</v>
      </c>
      <c r="T250" s="216" t="s">
        <v>48</v>
      </c>
      <c r="U250" s="196" t="str">
        <f t="shared" si="46"/>
        <v>3.5 Hrs</v>
      </c>
    </row>
    <row r="251" spans="3:21" s="185" customFormat="1" ht="20.25" customHeight="1">
      <c r="C251" s="198"/>
      <c r="D251" s="203">
        <f t="shared" si="41"/>
        <v>251</v>
      </c>
      <c r="E251" s="207" t="s">
        <v>283</v>
      </c>
      <c r="F251" s="211">
        <f t="shared" si="47"/>
        <v>250</v>
      </c>
      <c r="G251" s="206" t="s">
        <v>121</v>
      </c>
      <c r="H251" s="206"/>
      <c r="I251" s="233">
        <f>I247</f>
        <v>18</v>
      </c>
      <c r="J251" s="211" t="str">
        <f t="shared" si="54"/>
        <v>1250 mm</v>
      </c>
      <c r="K251" s="225">
        <f t="shared" si="54"/>
        <v>1</v>
      </c>
      <c r="L251" s="208" t="s">
        <v>81</v>
      </c>
      <c r="M251" s="227">
        <f t="shared" si="55"/>
        <v>1.25</v>
      </c>
      <c r="N251" s="208" t="s">
        <v>139</v>
      </c>
      <c r="O251" s="246">
        <f>VLOOKUP(I251,BM!$A$2:$X$104,6,FALSE)</f>
        <v>1</v>
      </c>
      <c r="P251" s="208" t="s">
        <v>112</v>
      </c>
      <c r="Q251" s="240">
        <f t="shared" si="48"/>
        <v>1.25</v>
      </c>
      <c r="R251" s="239">
        <v>1</v>
      </c>
      <c r="S251" s="240">
        <f t="shared" si="49"/>
        <v>2.25</v>
      </c>
      <c r="T251" s="216" t="s">
        <v>48</v>
      </c>
      <c r="U251" s="196" t="str">
        <f t="shared" si="46"/>
        <v>2.25 Hrs</v>
      </c>
    </row>
    <row r="252" spans="3:21" s="185" customFormat="1" ht="20.25" customHeight="1">
      <c r="C252" s="198"/>
      <c r="D252" s="203">
        <f t="shared" si="41"/>
        <v>252</v>
      </c>
      <c r="E252" s="207" t="s">
        <v>283</v>
      </c>
      <c r="F252" s="211">
        <f t="shared" si="47"/>
        <v>251</v>
      </c>
      <c r="G252" s="206" t="s">
        <v>121</v>
      </c>
      <c r="H252" s="206"/>
      <c r="I252" s="233">
        <f>I247</f>
        <v>18</v>
      </c>
      <c r="J252" s="211" t="str">
        <f t="shared" si="54"/>
        <v>0 mm</v>
      </c>
      <c r="K252" s="225">
        <f t="shared" si="54"/>
        <v>1</v>
      </c>
      <c r="L252" s="208" t="s">
        <v>81</v>
      </c>
      <c r="M252" s="227">
        <f t="shared" si="55"/>
        <v>0</v>
      </c>
      <c r="N252" s="208" t="s">
        <v>139</v>
      </c>
      <c r="O252" s="246">
        <f>VLOOKUP(I252,BM!$A$2:$X$104,6,FALSE)</f>
        <v>1</v>
      </c>
      <c r="P252" s="208" t="s">
        <v>112</v>
      </c>
      <c r="Q252" s="240">
        <f t="shared" si="48"/>
        <v>0</v>
      </c>
      <c r="R252" s="239">
        <v>1</v>
      </c>
      <c r="S252" s="240">
        <f t="shared" si="49"/>
        <v>1</v>
      </c>
      <c r="T252" s="216" t="s">
        <v>48</v>
      </c>
      <c r="U252" s="196" t="str">
        <f t="shared" si="46"/>
        <v>1 Hrs</v>
      </c>
    </row>
    <row r="253" spans="3:21" s="185" customFormat="1" ht="20.25" customHeight="1">
      <c r="C253" s="198">
        <f>D253</f>
        <v>253</v>
      </c>
      <c r="D253" s="203">
        <f t="shared" si="41"/>
        <v>253</v>
      </c>
      <c r="E253" s="209" t="s">
        <v>284</v>
      </c>
      <c r="F253" s="210">
        <f>D248</f>
        <v>248</v>
      </c>
      <c r="G253" s="206"/>
      <c r="H253" s="206"/>
      <c r="I253" s="208"/>
      <c r="J253" s="208"/>
      <c r="K253" s="234"/>
      <c r="L253" s="208"/>
      <c r="M253" s="217"/>
      <c r="N253" s="208"/>
      <c r="O253" s="218"/>
      <c r="P253" s="208"/>
      <c r="Q253" s="240"/>
      <c r="R253" s="239"/>
      <c r="S253" s="240"/>
      <c r="T253" s="216"/>
      <c r="U253" s="196"/>
    </row>
    <row r="254" spans="3:21" s="185" customFormat="1" ht="20.25" customHeight="1">
      <c r="C254" s="198"/>
      <c r="D254" s="203">
        <f t="shared" si="41"/>
        <v>254</v>
      </c>
      <c r="E254" s="207" t="s">
        <v>285</v>
      </c>
      <c r="F254" s="211"/>
      <c r="G254" s="206" t="s">
        <v>286</v>
      </c>
      <c r="H254" s="206"/>
      <c r="I254" s="233">
        <f>I252</f>
        <v>18</v>
      </c>
      <c r="J254" s="211" t="str">
        <f t="shared" ref="J254:K257" si="56">J249</f>
        <v>2500 mm</v>
      </c>
      <c r="K254" s="225">
        <f t="shared" si="56"/>
        <v>1</v>
      </c>
      <c r="L254" s="208" t="s">
        <v>81</v>
      </c>
      <c r="M254" s="227">
        <v>1</v>
      </c>
      <c r="N254" s="208" t="s">
        <v>39</v>
      </c>
      <c r="O254" s="246">
        <f>VLOOKUP(I254,BM!$A$2:$X$104,8,FALSE)</f>
        <v>0.3</v>
      </c>
      <c r="P254" s="208" t="s">
        <v>112</v>
      </c>
      <c r="Q254" s="240">
        <f t="shared" si="48"/>
        <v>0.3</v>
      </c>
      <c r="R254" s="239">
        <v>1</v>
      </c>
      <c r="S254" s="240">
        <f t="shared" si="49"/>
        <v>1.3</v>
      </c>
      <c r="T254" s="216" t="s">
        <v>48</v>
      </c>
      <c r="U254" s="196" t="str">
        <f t="shared" si="46"/>
        <v>1.3 Hrs</v>
      </c>
    </row>
    <row r="255" spans="3:21" s="185" customFormat="1" ht="20.25" customHeight="1">
      <c r="C255" s="198"/>
      <c r="D255" s="203">
        <f t="shared" si="41"/>
        <v>255</v>
      </c>
      <c r="E255" s="207" t="s">
        <v>285</v>
      </c>
      <c r="F255" s="211">
        <f t="shared" si="47"/>
        <v>254</v>
      </c>
      <c r="G255" s="206" t="s">
        <v>286</v>
      </c>
      <c r="H255" s="206"/>
      <c r="I255" s="233">
        <f>I252</f>
        <v>18</v>
      </c>
      <c r="J255" s="211" t="str">
        <f t="shared" si="56"/>
        <v>2500 mm</v>
      </c>
      <c r="K255" s="225">
        <f t="shared" si="56"/>
        <v>1</v>
      </c>
      <c r="L255" s="208" t="s">
        <v>81</v>
      </c>
      <c r="M255" s="227">
        <v>1</v>
      </c>
      <c r="N255" s="208" t="str">
        <f>N254</f>
        <v>No</v>
      </c>
      <c r="O255" s="246">
        <f>VLOOKUP(I255,BM!$A$2:$X$104,8,FALSE)</f>
        <v>0.3</v>
      </c>
      <c r="P255" s="208" t="s">
        <v>112</v>
      </c>
      <c r="Q255" s="240">
        <f t="shared" si="48"/>
        <v>0.3</v>
      </c>
      <c r="R255" s="239">
        <v>1</v>
      </c>
      <c r="S255" s="240">
        <f t="shared" si="49"/>
        <v>1.3</v>
      </c>
      <c r="T255" s="216" t="s">
        <v>48</v>
      </c>
      <c r="U255" s="196" t="str">
        <f t="shared" si="46"/>
        <v>1.3 Hrs</v>
      </c>
    </row>
    <row r="256" spans="3:21" s="185" customFormat="1" ht="20.25" customHeight="1">
      <c r="C256" s="198"/>
      <c r="D256" s="203">
        <f t="shared" si="41"/>
        <v>256</v>
      </c>
      <c r="E256" s="207" t="s">
        <v>285</v>
      </c>
      <c r="F256" s="211">
        <f t="shared" si="47"/>
        <v>255</v>
      </c>
      <c r="G256" s="206" t="s">
        <v>286</v>
      </c>
      <c r="H256" s="206"/>
      <c r="I256" s="233">
        <f>I252</f>
        <v>18</v>
      </c>
      <c r="J256" s="211" t="str">
        <f t="shared" si="56"/>
        <v>1250 mm</v>
      </c>
      <c r="K256" s="225">
        <f t="shared" si="56"/>
        <v>1</v>
      </c>
      <c r="L256" s="208" t="s">
        <v>81</v>
      </c>
      <c r="M256" s="227">
        <v>1</v>
      </c>
      <c r="N256" s="208" t="str">
        <f>N255</f>
        <v>No</v>
      </c>
      <c r="O256" s="246">
        <f>VLOOKUP(I256,BM!$A$2:$X$104,8,FALSE)</f>
        <v>0.3</v>
      </c>
      <c r="P256" s="208" t="s">
        <v>112</v>
      </c>
      <c r="Q256" s="240">
        <f t="shared" si="48"/>
        <v>0.3</v>
      </c>
      <c r="R256" s="239">
        <v>1</v>
      </c>
      <c r="S256" s="240">
        <f t="shared" si="49"/>
        <v>1.3</v>
      </c>
      <c r="T256" s="216" t="s">
        <v>48</v>
      </c>
      <c r="U256" s="196" t="str">
        <f t="shared" si="46"/>
        <v>1.3 Hrs</v>
      </c>
    </row>
    <row r="257" spans="3:21" s="185" customFormat="1" ht="20.25" customHeight="1">
      <c r="C257" s="198"/>
      <c r="D257" s="203">
        <f t="shared" si="41"/>
        <v>257</v>
      </c>
      <c r="E257" s="207" t="s">
        <v>285</v>
      </c>
      <c r="F257" s="211">
        <f t="shared" si="47"/>
        <v>256</v>
      </c>
      <c r="G257" s="206" t="s">
        <v>286</v>
      </c>
      <c r="H257" s="206"/>
      <c r="I257" s="233">
        <f>I252</f>
        <v>18</v>
      </c>
      <c r="J257" s="211" t="str">
        <f t="shared" si="56"/>
        <v>0 mm</v>
      </c>
      <c r="K257" s="225">
        <v>0</v>
      </c>
      <c r="L257" s="208" t="s">
        <v>81</v>
      </c>
      <c r="M257" s="227">
        <v>0</v>
      </c>
      <c r="N257" s="208" t="str">
        <f>N256</f>
        <v>No</v>
      </c>
      <c r="O257" s="246">
        <f>VLOOKUP(I257,BM!$A$2:$X$104,8,FALSE)</f>
        <v>0.3</v>
      </c>
      <c r="P257" s="208" t="s">
        <v>112</v>
      </c>
      <c r="Q257" s="240">
        <f t="shared" si="48"/>
        <v>0</v>
      </c>
      <c r="R257" s="239"/>
      <c r="S257" s="240"/>
      <c r="T257" s="216" t="s">
        <v>48</v>
      </c>
      <c r="U257" s="196"/>
    </row>
    <row r="258" spans="3:21" s="185" customFormat="1" ht="20.25" customHeight="1">
      <c r="C258" s="198">
        <f>D258</f>
        <v>258</v>
      </c>
      <c r="D258" s="203">
        <f t="shared" si="41"/>
        <v>258</v>
      </c>
      <c r="E258" s="209" t="s">
        <v>287</v>
      </c>
      <c r="F258" s="210">
        <f>D253</f>
        <v>253</v>
      </c>
      <c r="G258" s="206"/>
      <c r="H258" s="206"/>
      <c r="I258" s="208"/>
      <c r="J258" s="208"/>
      <c r="K258" s="234"/>
      <c r="L258" s="208"/>
      <c r="M258" s="217"/>
      <c r="N258" s="208"/>
      <c r="O258" s="218"/>
      <c r="P258" s="208"/>
      <c r="Q258" s="240"/>
      <c r="R258" s="239"/>
      <c r="S258" s="240"/>
      <c r="T258" s="216"/>
      <c r="U258" s="196"/>
    </row>
    <row r="259" spans="3:21" s="185" customFormat="1" ht="20.25" customHeight="1">
      <c r="C259" s="198"/>
      <c r="D259" s="203">
        <f t="shared" ref="D259:D322" si="57">D258+1</f>
        <v>259</v>
      </c>
      <c r="E259" s="207" t="s">
        <v>288</v>
      </c>
      <c r="F259" s="211"/>
      <c r="G259" s="206" t="s">
        <v>289</v>
      </c>
      <c r="H259" s="206"/>
      <c r="I259" s="233">
        <f>I257</f>
        <v>18</v>
      </c>
      <c r="J259" s="211" t="str">
        <f>J254</f>
        <v>2500 mm</v>
      </c>
      <c r="K259" s="234">
        <v>1</v>
      </c>
      <c r="L259" s="208" t="s">
        <v>81</v>
      </c>
      <c r="M259" s="235">
        <v>1</v>
      </c>
      <c r="N259" s="208" t="s">
        <v>81</v>
      </c>
      <c r="O259" s="246">
        <f>VLOOKUP(I259,BM!$A$2:$X$104,8,FALSE)</f>
        <v>0.3</v>
      </c>
      <c r="P259" s="208" t="s">
        <v>112</v>
      </c>
      <c r="Q259" s="240">
        <f t="shared" si="48"/>
        <v>0.3</v>
      </c>
      <c r="R259" s="239">
        <v>1</v>
      </c>
      <c r="S259" s="240">
        <f t="shared" si="49"/>
        <v>1.3</v>
      </c>
      <c r="T259" s="216" t="s">
        <v>48</v>
      </c>
      <c r="U259" s="196" t="str">
        <f t="shared" si="46"/>
        <v>1.3 Hrs</v>
      </c>
    </row>
    <row r="260" spans="3:21" s="185" customFormat="1" ht="20.25" customHeight="1">
      <c r="C260" s="198"/>
      <c r="D260" s="203">
        <f t="shared" si="57"/>
        <v>260</v>
      </c>
      <c r="E260" s="207" t="s">
        <v>288</v>
      </c>
      <c r="F260" s="211">
        <f t="shared" si="47"/>
        <v>259</v>
      </c>
      <c r="G260" s="206" t="s">
        <v>289</v>
      </c>
      <c r="H260" s="206"/>
      <c r="I260" s="233">
        <f>I257</f>
        <v>18</v>
      </c>
      <c r="J260" s="211" t="str">
        <f>J255</f>
        <v>2500 mm</v>
      </c>
      <c r="K260" s="234">
        <v>1</v>
      </c>
      <c r="L260" s="208" t="s">
        <v>81</v>
      </c>
      <c r="M260" s="235">
        <v>1</v>
      </c>
      <c r="N260" s="208" t="s">
        <v>81</v>
      </c>
      <c r="O260" s="246">
        <f>VLOOKUP(I260,BM!$A$2:$X$104,8,FALSE)</f>
        <v>0.3</v>
      </c>
      <c r="P260" s="208" t="s">
        <v>112</v>
      </c>
      <c r="Q260" s="240">
        <f t="shared" si="48"/>
        <v>0.3</v>
      </c>
      <c r="R260" s="239">
        <v>1</v>
      </c>
      <c r="S260" s="240">
        <f t="shared" si="49"/>
        <v>1.3</v>
      </c>
      <c r="T260" s="216" t="s">
        <v>48</v>
      </c>
      <c r="U260" s="196" t="str">
        <f t="shared" si="46"/>
        <v>1.3 Hrs</v>
      </c>
    </row>
    <row r="261" spans="3:21" s="185" customFormat="1" ht="20.25" customHeight="1">
      <c r="C261" s="198"/>
      <c r="D261" s="203">
        <f t="shared" si="57"/>
        <v>261</v>
      </c>
      <c r="E261" s="207" t="s">
        <v>288</v>
      </c>
      <c r="F261" s="211">
        <f t="shared" si="47"/>
        <v>260</v>
      </c>
      <c r="G261" s="206" t="s">
        <v>289</v>
      </c>
      <c r="H261" s="206"/>
      <c r="I261" s="233">
        <f>I257</f>
        <v>18</v>
      </c>
      <c r="J261" s="211" t="str">
        <f>J256</f>
        <v>1250 mm</v>
      </c>
      <c r="K261" s="234">
        <v>1</v>
      </c>
      <c r="L261" s="208" t="s">
        <v>81</v>
      </c>
      <c r="M261" s="235">
        <v>1</v>
      </c>
      <c r="N261" s="208" t="s">
        <v>81</v>
      </c>
      <c r="O261" s="246">
        <f>VLOOKUP(I261,BM!$A$2:$X$104,8,FALSE)</f>
        <v>0.3</v>
      </c>
      <c r="P261" s="208" t="s">
        <v>112</v>
      </c>
      <c r="Q261" s="240">
        <f t="shared" si="48"/>
        <v>0.3</v>
      </c>
      <c r="R261" s="239">
        <v>1</v>
      </c>
      <c r="S261" s="240">
        <f t="shared" si="49"/>
        <v>1.3</v>
      </c>
      <c r="T261" s="216" t="s">
        <v>48</v>
      </c>
      <c r="U261" s="196" t="str">
        <f t="shared" si="46"/>
        <v>1.3 Hrs</v>
      </c>
    </row>
    <row r="262" spans="3:21" s="185" customFormat="1" ht="20.25" customHeight="1">
      <c r="C262" s="198"/>
      <c r="D262" s="203">
        <f t="shared" si="57"/>
        <v>262</v>
      </c>
      <c r="E262" s="207" t="s">
        <v>288</v>
      </c>
      <c r="F262" s="211">
        <f t="shared" si="47"/>
        <v>261</v>
      </c>
      <c r="G262" s="206" t="s">
        <v>289</v>
      </c>
      <c r="H262" s="206"/>
      <c r="I262" s="233">
        <f>I257</f>
        <v>18</v>
      </c>
      <c r="J262" s="211" t="str">
        <f>J257</f>
        <v>0 mm</v>
      </c>
      <c r="K262" s="234">
        <v>1</v>
      </c>
      <c r="L262" s="208" t="s">
        <v>81</v>
      </c>
      <c r="M262" s="235">
        <v>0</v>
      </c>
      <c r="N262" s="208" t="s">
        <v>81</v>
      </c>
      <c r="O262" s="246">
        <f>VLOOKUP(I262,BM!$A$2:$X$104,8,FALSE)</f>
        <v>0.3</v>
      </c>
      <c r="P262" s="208" t="s">
        <v>112</v>
      </c>
      <c r="Q262" s="240">
        <f t="shared" si="48"/>
        <v>0</v>
      </c>
      <c r="R262" s="239">
        <v>1</v>
      </c>
      <c r="S262" s="240">
        <f t="shared" si="49"/>
        <v>1</v>
      </c>
      <c r="T262" s="216" t="s">
        <v>48</v>
      </c>
      <c r="U262" s="196" t="str">
        <f t="shared" si="46"/>
        <v>1 Hrs</v>
      </c>
    </row>
    <row r="263" spans="3:21" s="185" customFormat="1" ht="20.25" customHeight="1">
      <c r="C263" s="198">
        <f>D263</f>
        <v>263</v>
      </c>
      <c r="D263" s="203">
        <f t="shared" si="57"/>
        <v>263</v>
      </c>
      <c r="E263" s="209" t="s">
        <v>290</v>
      </c>
      <c r="F263" s="210">
        <f>D258</f>
        <v>258</v>
      </c>
      <c r="G263" s="206"/>
      <c r="H263" s="206"/>
      <c r="I263" s="208"/>
      <c r="J263" s="208"/>
      <c r="K263" s="234"/>
      <c r="L263" s="208"/>
      <c r="M263" s="217"/>
      <c r="N263" s="208"/>
      <c r="O263" s="218"/>
      <c r="P263" s="208"/>
      <c r="Q263" s="240"/>
      <c r="R263" s="239"/>
      <c r="S263" s="240"/>
      <c r="T263" s="216"/>
      <c r="U263" s="196"/>
    </row>
    <row r="264" spans="3:21" s="185" customFormat="1" ht="20.25" customHeight="1">
      <c r="C264" s="198"/>
      <c r="D264" s="203">
        <f t="shared" si="57"/>
        <v>264</v>
      </c>
      <c r="E264" s="207" t="s">
        <v>291</v>
      </c>
      <c r="F264" s="211"/>
      <c r="G264" s="206" t="s">
        <v>44</v>
      </c>
      <c r="H264" s="206"/>
      <c r="I264" s="233">
        <f>I262</f>
        <v>18</v>
      </c>
      <c r="J264" s="211" t="str">
        <f>J259</f>
        <v>2500 mm</v>
      </c>
      <c r="K264" s="234">
        <v>1</v>
      </c>
      <c r="L264" s="208" t="s">
        <v>81</v>
      </c>
      <c r="M264" s="227">
        <f t="shared" ref="M264:M267" si="58">LEFT(J264,SEARCH(" ",J264,1)-1)*K264*0.001</f>
        <v>2.5</v>
      </c>
      <c r="N264" s="208" t="s">
        <v>139</v>
      </c>
      <c r="O264" s="246">
        <f>VLOOKUP(I264,BM!$A$2:$X$104,9,FALSE)</f>
        <v>1</v>
      </c>
      <c r="P264" s="208" t="s">
        <v>112</v>
      </c>
      <c r="Q264" s="240">
        <f t="shared" si="48"/>
        <v>2.5</v>
      </c>
      <c r="R264" s="239">
        <v>1</v>
      </c>
      <c r="S264" s="240">
        <f t="shared" si="49"/>
        <v>3.5</v>
      </c>
      <c r="T264" s="216" t="s">
        <v>48</v>
      </c>
      <c r="U264" s="196" t="str">
        <f t="shared" si="46"/>
        <v>3.5 Hrs</v>
      </c>
    </row>
    <row r="265" spans="3:21" s="185" customFormat="1" ht="20.25" customHeight="1">
      <c r="C265" s="198"/>
      <c r="D265" s="203">
        <f t="shared" si="57"/>
        <v>265</v>
      </c>
      <c r="E265" s="207" t="s">
        <v>291</v>
      </c>
      <c r="F265" s="211">
        <f t="shared" si="47"/>
        <v>264</v>
      </c>
      <c r="G265" s="206" t="s">
        <v>44</v>
      </c>
      <c r="H265" s="206"/>
      <c r="I265" s="233">
        <f>I262</f>
        <v>18</v>
      </c>
      <c r="J265" s="211" t="str">
        <f>J260</f>
        <v>2500 mm</v>
      </c>
      <c r="K265" s="234">
        <v>1</v>
      </c>
      <c r="L265" s="208" t="s">
        <v>81</v>
      </c>
      <c r="M265" s="227">
        <f t="shared" si="58"/>
        <v>2.5</v>
      </c>
      <c r="N265" s="208" t="s">
        <v>139</v>
      </c>
      <c r="O265" s="246">
        <f>VLOOKUP(I265,BM!$A$2:$X$104,9,FALSE)</f>
        <v>1</v>
      </c>
      <c r="P265" s="208" t="s">
        <v>112</v>
      </c>
      <c r="Q265" s="240">
        <f t="shared" si="48"/>
        <v>2.5</v>
      </c>
      <c r="R265" s="239">
        <v>1</v>
      </c>
      <c r="S265" s="240">
        <f t="shared" si="49"/>
        <v>3.5</v>
      </c>
      <c r="T265" s="216" t="s">
        <v>48</v>
      </c>
      <c r="U265" s="196" t="str">
        <f t="shared" si="46"/>
        <v>3.5 Hrs</v>
      </c>
    </row>
    <row r="266" spans="3:21" s="185" customFormat="1" ht="20.25" customHeight="1">
      <c r="C266" s="198"/>
      <c r="D266" s="203">
        <f t="shared" si="57"/>
        <v>266</v>
      </c>
      <c r="E266" s="207" t="s">
        <v>291</v>
      </c>
      <c r="F266" s="211">
        <f t="shared" si="47"/>
        <v>265</v>
      </c>
      <c r="G266" s="206" t="s">
        <v>44</v>
      </c>
      <c r="H266" s="206"/>
      <c r="I266" s="233">
        <f>I262</f>
        <v>18</v>
      </c>
      <c r="J266" s="211" t="str">
        <f>J261</f>
        <v>1250 mm</v>
      </c>
      <c r="K266" s="234">
        <v>1</v>
      </c>
      <c r="L266" s="208" t="s">
        <v>81</v>
      </c>
      <c r="M266" s="227">
        <f t="shared" si="58"/>
        <v>1.25</v>
      </c>
      <c r="N266" s="208" t="s">
        <v>139</v>
      </c>
      <c r="O266" s="246">
        <f>VLOOKUP(I266,BM!$A$2:$X$104,9,FALSE)</f>
        <v>1</v>
      </c>
      <c r="P266" s="208" t="s">
        <v>112</v>
      </c>
      <c r="Q266" s="240">
        <f t="shared" si="48"/>
        <v>1.25</v>
      </c>
      <c r="R266" s="239">
        <v>1</v>
      </c>
      <c r="S266" s="240">
        <f t="shared" si="49"/>
        <v>2.25</v>
      </c>
      <c r="T266" s="216" t="s">
        <v>48</v>
      </c>
      <c r="U266" s="196" t="str">
        <f t="shared" si="46"/>
        <v>2.25 Hrs</v>
      </c>
    </row>
    <row r="267" spans="3:21" s="185" customFormat="1" ht="20.25" customHeight="1">
      <c r="C267" s="198"/>
      <c r="D267" s="203">
        <f t="shared" si="57"/>
        <v>267</v>
      </c>
      <c r="E267" s="207" t="s">
        <v>291</v>
      </c>
      <c r="F267" s="211">
        <f t="shared" si="47"/>
        <v>266</v>
      </c>
      <c r="G267" s="206" t="s">
        <v>44</v>
      </c>
      <c r="H267" s="206"/>
      <c r="I267" s="233">
        <f>I262</f>
        <v>18</v>
      </c>
      <c r="J267" s="211" t="str">
        <f>J262</f>
        <v>0 mm</v>
      </c>
      <c r="K267" s="234">
        <v>1</v>
      </c>
      <c r="L267" s="208" t="s">
        <v>81</v>
      </c>
      <c r="M267" s="227">
        <f t="shared" si="58"/>
        <v>0</v>
      </c>
      <c r="N267" s="208" t="s">
        <v>139</v>
      </c>
      <c r="O267" s="246">
        <f>VLOOKUP(I267,BM!$A$2:$X$104,9,FALSE)</f>
        <v>1</v>
      </c>
      <c r="P267" s="208" t="s">
        <v>112</v>
      </c>
      <c r="Q267" s="240">
        <f t="shared" si="48"/>
        <v>0</v>
      </c>
      <c r="R267" s="239">
        <v>1</v>
      </c>
      <c r="S267" s="240">
        <f t="shared" si="49"/>
        <v>1</v>
      </c>
      <c r="T267" s="216" t="s">
        <v>48</v>
      </c>
      <c r="U267" s="196" t="str">
        <f t="shared" si="46"/>
        <v>1 Hrs</v>
      </c>
    </row>
    <row r="268" spans="3:21" s="185" customFormat="1" ht="20.25" customHeight="1">
      <c r="C268" s="198">
        <f>D268</f>
        <v>268</v>
      </c>
      <c r="D268" s="203">
        <f t="shared" si="57"/>
        <v>268</v>
      </c>
      <c r="E268" s="209" t="s">
        <v>292</v>
      </c>
      <c r="F268" s="210">
        <f>D263</f>
        <v>263</v>
      </c>
      <c r="G268" s="206"/>
      <c r="H268" s="206"/>
      <c r="I268" s="208"/>
      <c r="J268" s="208"/>
      <c r="K268" s="234"/>
      <c r="L268" s="208"/>
      <c r="M268" s="217"/>
      <c r="N268" s="208"/>
      <c r="O268" s="218"/>
      <c r="P268" s="208"/>
      <c r="Q268" s="240"/>
      <c r="R268" s="239"/>
      <c r="S268" s="240"/>
      <c r="T268" s="216"/>
      <c r="U268" s="196"/>
    </row>
    <row r="269" spans="3:21" s="185" customFormat="1" ht="20.25" customHeight="1">
      <c r="C269" s="198"/>
      <c r="D269" s="203">
        <f t="shared" si="57"/>
        <v>269</v>
      </c>
      <c r="E269" s="207" t="s">
        <v>293</v>
      </c>
      <c r="F269" s="211"/>
      <c r="G269" s="206" t="s">
        <v>286</v>
      </c>
      <c r="H269" s="206"/>
      <c r="I269" s="233">
        <f>I267</f>
        <v>18</v>
      </c>
      <c r="J269" s="211" t="str">
        <f>J264</f>
        <v>2500 mm</v>
      </c>
      <c r="K269" s="234">
        <v>1</v>
      </c>
      <c r="L269" s="208" t="s">
        <v>81</v>
      </c>
      <c r="M269" s="235">
        <f>K269</f>
        <v>1</v>
      </c>
      <c r="N269" s="208" t="s">
        <v>39</v>
      </c>
      <c r="O269" s="218">
        <v>3</v>
      </c>
      <c r="P269" s="208" t="s">
        <v>112</v>
      </c>
      <c r="Q269" s="240">
        <f t="shared" si="48"/>
        <v>3</v>
      </c>
      <c r="R269" s="239">
        <v>1</v>
      </c>
      <c r="S269" s="240">
        <f t="shared" si="49"/>
        <v>4</v>
      </c>
      <c r="T269" s="216" t="s">
        <v>48</v>
      </c>
      <c r="U269" s="196" t="str">
        <f t="shared" si="46"/>
        <v>4 Hrs</v>
      </c>
    </row>
    <row r="270" spans="3:21" s="185" customFormat="1" ht="20.25" customHeight="1">
      <c r="C270" s="198"/>
      <c r="D270" s="203">
        <f t="shared" si="57"/>
        <v>270</v>
      </c>
      <c r="E270" s="207" t="s">
        <v>294</v>
      </c>
      <c r="F270" s="211">
        <f t="shared" si="47"/>
        <v>269</v>
      </c>
      <c r="G270" s="206" t="s">
        <v>286</v>
      </c>
      <c r="H270" s="206"/>
      <c r="I270" s="233">
        <f>I267</f>
        <v>18</v>
      </c>
      <c r="J270" s="211" t="str">
        <f>J265</f>
        <v>2500 mm</v>
      </c>
      <c r="K270" s="234">
        <v>1</v>
      </c>
      <c r="L270" s="208" t="s">
        <v>81</v>
      </c>
      <c r="M270" s="235">
        <f>K270</f>
        <v>1</v>
      </c>
      <c r="N270" s="208" t="s">
        <v>39</v>
      </c>
      <c r="O270" s="246">
        <f>O269</f>
        <v>3</v>
      </c>
      <c r="P270" s="208" t="s">
        <v>112</v>
      </c>
      <c r="Q270" s="240">
        <f t="shared" si="48"/>
        <v>3</v>
      </c>
      <c r="R270" s="239">
        <v>1</v>
      </c>
      <c r="S270" s="240">
        <f t="shared" si="49"/>
        <v>4</v>
      </c>
      <c r="T270" s="216" t="s">
        <v>48</v>
      </c>
      <c r="U270" s="196" t="str">
        <f t="shared" si="46"/>
        <v>4 Hrs</v>
      </c>
    </row>
    <row r="271" spans="3:21" s="185" customFormat="1" ht="20.25" customHeight="1">
      <c r="C271" s="198"/>
      <c r="D271" s="203">
        <f t="shared" si="57"/>
        <v>271</v>
      </c>
      <c r="E271" s="207" t="s">
        <v>294</v>
      </c>
      <c r="F271" s="211">
        <f t="shared" si="47"/>
        <v>270</v>
      </c>
      <c r="G271" s="206" t="s">
        <v>286</v>
      </c>
      <c r="H271" s="206"/>
      <c r="I271" s="233">
        <f>I267</f>
        <v>18</v>
      </c>
      <c r="J271" s="211" t="str">
        <f>J266</f>
        <v>1250 mm</v>
      </c>
      <c r="K271" s="234">
        <v>1</v>
      </c>
      <c r="L271" s="208" t="s">
        <v>81</v>
      </c>
      <c r="M271" s="235">
        <f>K271</f>
        <v>1</v>
      </c>
      <c r="N271" s="208" t="s">
        <v>39</v>
      </c>
      <c r="O271" s="246">
        <f>O270</f>
        <v>3</v>
      </c>
      <c r="P271" s="208" t="s">
        <v>112</v>
      </c>
      <c r="Q271" s="240">
        <f t="shared" si="48"/>
        <v>3</v>
      </c>
      <c r="R271" s="239">
        <v>1</v>
      </c>
      <c r="S271" s="240">
        <f t="shared" si="49"/>
        <v>4</v>
      </c>
      <c r="T271" s="216" t="s">
        <v>48</v>
      </c>
      <c r="U271" s="196" t="str">
        <f t="shared" si="46"/>
        <v>4 Hrs</v>
      </c>
    </row>
    <row r="272" spans="3:21" s="185" customFormat="1" ht="20.25" customHeight="1">
      <c r="C272" s="198"/>
      <c r="D272" s="203">
        <f t="shared" si="57"/>
        <v>272</v>
      </c>
      <c r="E272" s="207" t="s">
        <v>294</v>
      </c>
      <c r="F272" s="211">
        <f t="shared" si="47"/>
        <v>271</v>
      </c>
      <c r="G272" s="206" t="s">
        <v>286</v>
      </c>
      <c r="H272" s="206"/>
      <c r="I272" s="233">
        <f>I267</f>
        <v>18</v>
      </c>
      <c r="J272" s="211" t="str">
        <f>J267</f>
        <v>0 mm</v>
      </c>
      <c r="K272" s="234">
        <v>1</v>
      </c>
      <c r="L272" s="208" t="s">
        <v>81</v>
      </c>
      <c r="M272" s="235">
        <f>K272</f>
        <v>1</v>
      </c>
      <c r="N272" s="208" t="s">
        <v>39</v>
      </c>
      <c r="O272" s="246">
        <f>O271</f>
        <v>3</v>
      </c>
      <c r="P272" s="208" t="s">
        <v>112</v>
      </c>
      <c r="Q272" s="240">
        <f t="shared" si="48"/>
        <v>3</v>
      </c>
      <c r="R272" s="239">
        <v>1</v>
      </c>
      <c r="S272" s="240">
        <f t="shared" si="49"/>
        <v>4</v>
      </c>
      <c r="T272" s="216" t="s">
        <v>48</v>
      </c>
      <c r="U272" s="196" t="str">
        <f t="shared" si="46"/>
        <v>4 Hrs</v>
      </c>
    </row>
    <row r="273" spans="3:21" s="185" customFormat="1" ht="20.25" customHeight="1">
      <c r="C273" s="198">
        <f>D273</f>
        <v>273</v>
      </c>
      <c r="D273" s="203">
        <f t="shared" si="57"/>
        <v>273</v>
      </c>
      <c r="E273" s="209" t="s">
        <v>295</v>
      </c>
      <c r="F273" s="210">
        <f>D268</f>
        <v>268</v>
      </c>
      <c r="G273" s="206"/>
      <c r="H273" s="206"/>
      <c r="I273" s="208"/>
      <c r="J273" s="208"/>
      <c r="K273" s="234"/>
      <c r="L273" s="208"/>
      <c r="M273" s="217"/>
      <c r="N273" s="208"/>
      <c r="O273" s="218"/>
      <c r="P273" s="208"/>
      <c r="Q273" s="240">
        <f t="shared" si="48"/>
        <v>0</v>
      </c>
      <c r="R273" s="239"/>
      <c r="S273" s="240"/>
      <c r="T273" s="216"/>
      <c r="U273" s="196"/>
    </row>
    <row r="274" spans="3:21" s="185" customFormat="1" ht="20.25" customHeight="1">
      <c r="C274" s="198"/>
      <c r="D274" s="203">
        <f t="shared" si="57"/>
        <v>274</v>
      </c>
      <c r="E274" s="207" t="s">
        <v>296</v>
      </c>
      <c r="F274" s="211"/>
      <c r="G274" s="206" t="s">
        <v>201</v>
      </c>
      <c r="H274" s="206"/>
      <c r="I274" s="233">
        <f>I272</f>
        <v>18</v>
      </c>
      <c r="J274" s="211" t="str">
        <f>J269</f>
        <v>2500 mm</v>
      </c>
      <c r="K274" s="234">
        <v>1</v>
      </c>
      <c r="L274" s="208" t="s">
        <v>81</v>
      </c>
      <c r="M274" s="227">
        <f t="shared" ref="M274:M307" si="59">LEFT(J274,SEARCH(" ",J274,1)-1)*K274*0.001</f>
        <v>2.5</v>
      </c>
      <c r="N274" s="208" t="s">
        <v>139</v>
      </c>
      <c r="O274" s="246">
        <f>VLOOKUP(I274,BM!$A$2:$X$104,9,FALSE)</f>
        <v>1</v>
      </c>
      <c r="P274" s="208" t="s">
        <v>112</v>
      </c>
      <c r="Q274" s="240">
        <f t="shared" si="48"/>
        <v>2.5</v>
      </c>
      <c r="R274" s="239">
        <v>1</v>
      </c>
      <c r="S274" s="240">
        <f t="shared" si="49"/>
        <v>3.5</v>
      </c>
      <c r="T274" s="216" t="s">
        <v>48</v>
      </c>
      <c r="U274" s="196" t="str">
        <f t="shared" si="46"/>
        <v>3.5 Hrs</v>
      </c>
    </row>
    <row r="275" spans="3:21" s="185" customFormat="1" ht="20.25" customHeight="1">
      <c r="C275" s="198"/>
      <c r="D275" s="203">
        <f t="shared" si="57"/>
        <v>275</v>
      </c>
      <c r="E275" s="207" t="s">
        <v>296</v>
      </c>
      <c r="F275" s="211">
        <f t="shared" si="47"/>
        <v>274</v>
      </c>
      <c r="G275" s="206" t="s">
        <v>201</v>
      </c>
      <c r="H275" s="206"/>
      <c r="I275" s="233">
        <f>I272</f>
        <v>18</v>
      </c>
      <c r="J275" s="211" t="str">
        <f>J270</f>
        <v>2500 mm</v>
      </c>
      <c r="K275" s="234">
        <v>1</v>
      </c>
      <c r="L275" s="208" t="s">
        <v>81</v>
      </c>
      <c r="M275" s="227">
        <f t="shared" si="59"/>
        <v>2.5</v>
      </c>
      <c r="N275" s="208" t="s">
        <v>139</v>
      </c>
      <c r="O275" s="246">
        <f>VLOOKUP(I275,BM!$A$2:$X$104,9,FALSE)</f>
        <v>1</v>
      </c>
      <c r="P275" s="208" t="s">
        <v>112</v>
      </c>
      <c r="Q275" s="240">
        <f t="shared" si="48"/>
        <v>2.5</v>
      </c>
      <c r="R275" s="239">
        <v>1</v>
      </c>
      <c r="S275" s="240">
        <f t="shared" si="49"/>
        <v>3.5</v>
      </c>
      <c r="T275" s="216" t="s">
        <v>48</v>
      </c>
      <c r="U275" s="196" t="str">
        <f t="shared" si="46"/>
        <v>3.5 Hrs</v>
      </c>
    </row>
    <row r="276" spans="3:21" s="185" customFormat="1" ht="20.25" customHeight="1">
      <c r="C276" s="198"/>
      <c r="D276" s="203">
        <f t="shared" si="57"/>
        <v>276</v>
      </c>
      <c r="E276" s="207" t="s">
        <v>296</v>
      </c>
      <c r="F276" s="211">
        <f t="shared" si="47"/>
        <v>275</v>
      </c>
      <c r="G276" s="206" t="s">
        <v>201</v>
      </c>
      <c r="H276" s="206"/>
      <c r="I276" s="233">
        <f>I272</f>
        <v>18</v>
      </c>
      <c r="J276" s="211" t="str">
        <f>J271</f>
        <v>1250 mm</v>
      </c>
      <c r="K276" s="234">
        <v>1</v>
      </c>
      <c r="L276" s="208" t="s">
        <v>81</v>
      </c>
      <c r="M276" s="227">
        <f t="shared" si="59"/>
        <v>1.25</v>
      </c>
      <c r="N276" s="208" t="s">
        <v>139</v>
      </c>
      <c r="O276" s="246">
        <f>VLOOKUP(I276,BM!$A$2:$X$104,9,FALSE)</f>
        <v>1</v>
      </c>
      <c r="P276" s="208" t="s">
        <v>112</v>
      </c>
      <c r="Q276" s="240">
        <f t="shared" si="48"/>
        <v>1.25</v>
      </c>
      <c r="R276" s="239">
        <v>1</v>
      </c>
      <c r="S276" s="240">
        <f t="shared" si="49"/>
        <v>2.25</v>
      </c>
      <c r="T276" s="216" t="s">
        <v>48</v>
      </c>
      <c r="U276" s="196" t="str">
        <f t="shared" si="46"/>
        <v>2.25 Hrs</v>
      </c>
    </row>
    <row r="277" spans="3:21" s="185" customFormat="1" ht="20.25" customHeight="1">
      <c r="C277" s="198"/>
      <c r="D277" s="203">
        <f t="shared" si="57"/>
        <v>277</v>
      </c>
      <c r="E277" s="207" t="s">
        <v>296</v>
      </c>
      <c r="F277" s="211">
        <f t="shared" si="47"/>
        <v>276</v>
      </c>
      <c r="G277" s="206" t="s">
        <v>201</v>
      </c>
      <c r="H277" s="206"/>
      <c r="I277" s="233">
        <f>I272</f>
        <v>18</v>
      </c>
      <c r="J277" s="211" t="str">
        <f>J272</f>
        <v>0 mm</v>
      </c>
      <c r="K277" s="234">
        <v>1</v>
      </c>
      <c r="L277" s="208" t="s">
        <v>81</v>
      </c>
      <c r="M277" s="227">
        <f t="shared" si="59"/>
        <v>0</v>
      </c>
      <c r="N277" s="208" t="s">
        <v>139</v>
      </c>
      <c r="O277" s="246">
        <f>VLOOKUP(I277,BM!$A$2:$X$104,9,FALSE)</f>
        <v>1</v>
      </c>
      <c r="P277" s="208" t="s">
        <v>112</v>
      </c>
      <c r="Q277" s="240">
        <f t="shared" si="48"/>
        <v>0</v>
      </c>
      <c r="R277" s="239">
        <v>1</v>
      </c>
      <c r="S277" s="240">
        <f t="shared" si="49"/>
        <v>1</v>
      </c>
      <c r="T277" s="216" t="s">
        <v>48</v>
      </c>
      <c r="U277" s="196" t="str">
        <f t="shared" si="46"/>
        <v>1 Hrs</v>
      </c>
    </row>
    <row r="278" spans="3:21" s="185" customFormat="1" ht="20.25" customHeight="1">
      <c r="C278" s="198">
        <f>D278</f>
        <v>278</v>
      </c>
      <c r="D278" s="203">
        <f t="shared" si="57"/>
        <v>278</v>
      </c>
      <c r="E278" s="209" t="s">
        <v>297</v>
      </c>
      <c r="F278" s="210">
        <f>D273</f>
        <v>273</v>
      </c>
      <c r="G278" s="206"/>
      <c r="H278" s="206"/>
      <c r="I278" s="208"/>
      <c r="J278" s="208"/>
      <c r="K278" s="234"/>
      <c r="L278" s="208"/>
      <c r="M278" s="217"/>
      <c r="N278" s="208"/>
      <c r="O278" s="218"/>
      <c r="P278" s="208"/>
      <c r="Q278" s="240">
        <f t="shared" si="48"/>
        <v>0</v>
      </c>
      <c r="R278" s="239"/>
      <c r="S278" s="240"/>
      <c r="T278" s="216"/>
      <c r="U278" s="196"/>
    </row>
    <row r="279" spans="3:21" s="185" customFormat="1" ht="20.25" customHeight="1">
      <c r="C279" s="198"/>
      <c r="D279" s="203">
        <f t="shared" si="57"/>
        <v>279</v>
      </c>
      <c r="E279" s="207" t="s">
        <v>298</v>
      </c>
      <c r="F279" s="211"/>
      <c r="G279" s="206"/>
      <c r="H279" s="206"/>
      <c r="I279" s="233">
        <f>I277</f>
        <v>18</v>
      </c>
      <c r="J279" s="211" t="str">
        <f>J274</f>
        <v>2500 mm</v>
      </c>
      <c r="K279" s="234">
        <v>1</v>
      </c>
      <c r="L279" s="208" t="s">
        <v>81</v>
      </c>
      <c r="M279" s="227">
        <f t="shared" si="59"/>
        <v>2.5</v>
      </c>
      <c r="N279" s="208" t="s">
        <v>139</v>
      </c>
      <c r="O279" s="246">
        <f>VLOOKUP(I279,BM!$A$2:$X$104,10,FALSE)</f>
        <v>1</v>
      </c>
      <c r="P279" s="208" t="s">
        <v>112</v>
      </c>
      <c r="Q279" s="240">
        <f t="shared" si="48"/>
        <v>2.5</v>
      </c>
      <c r="R279" s="239">
        <v>1</v>
      </c>
      <c r="S279" s="240">
        <f t="shared" si="49"/>
        <v>3.5</v>
      </c>
      <c r="T279" s="216" t="s">
        <v>48</v>
      </c>
      <c r="U279" s="196" t="str">
        <f t="shared" si="46"/>
        <v>3.5 Hrs</v>
      </c>
    </row>
    <row r="280" spans="3:21" s="185" customFormat="1" ht="20.25" customHeight="1">
      <c r="C280" s="198"/>
      <c r="D280" s="203">
        <f t="shared" si="57"/>
        <v>280</v>
      </c>
      <c r="E280" s="207" t="s">
        <v>298</v>
      </c>
      <c r="F280" s="211">
        <f t="shared" si="47"/>
        <v>279</v>
      </c>
      <c r="G280" s="206" t="s">
        <v>299</v>
      </c>
      <c r="H280" s="206"/>
      <c r="I280" s="233">
        <f>I277</f>
        <v>18</v>
      </c>
      <c r="J280" s="211" t="str">
        <f>J275</f>
        <v>2500 mm</v>
      </c>
      <c r="K280" s="234">
        <v>1</v>
      </c>
      <c r="L280" s="208" t="s">
        <v>81</v>
      </c>
      <c r="M280" s="227">
        <f t="shared" si="59"/>
        <v>2.5</v>
      </c>
      <c r="N280" s="208" t="s">
        <v>139</v>
      </c>
      <c r="O280" s="246">
        <f>VLOOKUP(I280,BM!$A$2:$X$104,10,FALSE)</f>
        <v>1</v>
      </c>
      <c r="P280" s="208" t="s">
        <v>112</v>
      </c>
      <c r="Q280" s="240">
        <f t="shared" si="48"/>
        <v>2.5</v>
      </c>
      <c r="R280" s="239">
        <v>1</v>
      </c>
      <c r="S280" s="240">
        <f t="shared" si="49"/>
        <v>3.5</v>
      </c>
      <c r="T280" s="216" t="s">
        <v>48</v>
      </c>
      <c r="U280" s="196" t="str">
        <f t="shared" si="46"/>
        <v>3.5 Hrs</v>
      </c>
    </row>
    <row r="281" spans="3:21" s="185" customFormat="1" ht="20.25" customHeight="1">
      <c r="C281" s="198"/>
      <c r="D281" s="203">
        <f t="shared" si="57"/>
        <v>281</v>
      </c>
      <c r="E281" s="207" t="s">
        <v>298</v>
      </c>
      <c r="F281" s="211">
        <f t="shared" si="47"/>
        <v>280</v>
      </c>
      <c r="G281" s="206" t="s">
        <v>299</v>
      </c>
      <c r="H281" s="206"/>
      <c r="I281" s="233">
        <f>I277</f>
        <v>18</v>
      </c>
      <c r="J281" s="211" t="str">
        <f>J276</f>
        <v>1250 mm</v>
      </c>
      <c r="K281" s="234">
        <v>1</v>
      </c>
      <c r="L281" s="208" t="s">
        <v>81</v>
      </c>
      <c r="M281" s="227">
        <f t="shared" si="59"/>
        <v>1.25</v>
      </c>
      <c r="N281" s="208" t="s">
        <v>139</v>
      </c>
      <c r="O281" s="246">
        <f>VLOOKUP(I281,BM!$A$2:$X$104,10,FALSE)</f>
        <v>1</v>
      </c>
      <c r="P281" s="208" t="s">
        <v>112</v>
      </c>
      <c r="Q281" s="240">
        <f t="shared" si="48"/>
        <v>1.25</v>
      </c>
      <c r="R281" s="239">
        <v>1</v>
      </c>
      <c r="S281" s="240">
        <f t="shared" si="49"/>
        <v>2.25</v>
      </c>
      <c r="T281" s="216" t="s">
        <v>48</v>
      </c>
      <c r="U281" s="196" t="str">
        <f t="shared" si="46"/>
        <v>2.25 Hrs</v>
      </c>
    </row>
    <row r="282" spans="3:21" s="185" customFormat="1" ht="20.25" customHeight="1">
      <c r="C282" s="198"/>
      <c r="D282" s="203">
        <f t="shared" si="57"/>
        <v>282</v>
      </c>
      <c r="E282" s="207" t="s">
        <v>298</v>
      </c>
      <c r="F282" s="211">
        <f t="shared" si="47"/>
        <v>281</v>
      </c>
      <c r="G282" s="206" t="s">
        <v>299</v>
      </c>
      <c r="H282" s="206"/>
      <c r="I282" s="233">
        <f>I277</f>
        <v>18</v>
      </c>
      <c r="J282" s="211" t="str">
        <f>J277</f>
        <v>0 mm</v>
      </c>
      <c r="K282" s="234">
        <v>1</v>
      </c>
      <c r="L282" s="208" t="s">
        <v>81</v>
      </c>
      <c r="M282" s="227">
        <f t="shared" si="59"/>
        <v>0</v>
      </c>
      <c r="N282" s="208" t="s">
        <v>139</v>
      </c>
      <c r="O282" s="246">
        <f>VLOOKUP(I282,BM!$A$2:$X$104,10,FALSE)</f>
        <v>1</v>
      </c>
      <c r="P282" s="208" t="s">
        <v>112</v>
      </c>
      <c r="Q282" s="240">
        <f t="shared" si="48"/>
        <v>0</v>
      </c>
      <c r="R282" s="239">
        <v>1</v>
      </c>
      <c r="S282" s="240">
        <f t="shared" si="49"/>
        <v>1</v>
      </c>
      <c r="T282" s="216" t="s">
        <v>48</v>
      </c>
      <c r="U282" s="196" t="str">
        <f t="shared" si="46"/>
        <v>1 Hrs</v>
      </c>
    </row>
    <row r="283" spans="3:21" s="185" customFormat="1" ht="20.25" customHeight="1">
      <c r="C283" s="198">
        <f>D283</f>
        <v>283</v>
      </c>
      <c r="D283" s="203">
        <f t="shared" si="57"/>
        <v>283</v>
      </c>
      <c r="E283" s="209" t="s">
        <v>300</v>
      </c>
      <c r="F283" s="210">
        <f>D278</f>
        <v>278</v>
      </c>
      <c r="G283" s="206"/>
      <c r="H283" s="206"/>
      <c r="I283" s="208"/>
      <c r="J283" s="208"/>
      <c r="K283" s="234"/>
      <c r="L283" s="208"/>
      <c r="M283" s="217"/>
      <c r="N283" s="208"/>
      <c r="O283" s="218"/>
      <c r="P283" s="208"/>
      <c r="Q283" s="240"/>
      <c r="R283" s="239"/>
      <c r="S283" s="240"/>
      <c r="T283" s="216"/>
      <c r="U283" s="196"/>
    </row>
    <row r="284" spans="3:21" s="185" customFormat="1" ht="20.25" customHeight="1">
      <c r="C284" s="198"/>
      <c r="D284" s="203">
        <f t="shared" si="57"/>
        <v>284</v>
      </c>
      <c r="E284" s="207" t="s">
        <v>301</v>
      </c>
      <c r="F284" s="211"/>
      <c r="G284" s="206" t="s">
        <v>44</v>
      </c>
      <c r="H284" s="206"/>
      <c r="I284" s="233">
        <f>I282</f>
        <v>18</v>
      </c>
      <c r="J284" s="211" t="str">
        <f>J279</f>
        <v>2500 mm</v>
      </c>
      <c r="K284" s="234">
        <v>1</v>
      </c>
      <c r="L284" s="208" t="s">
        <v>81</v>
      </c>
      <c r="M284" s="227">
        <v>1</v>
      </c>
      <c r="N284" s="208" t="s">
        <v>39</v>
      </c>
      <c r="O284" s="246">
        <f>VLOOKUP(I284,BM!$A$2:$X$104,11,FALSE)</f>
        <v>1</v>
      </c>
      <c r="P284" s="208" t="s">
        <v>112</v>
      </c>
      <c r="Q284" s="240">
        <f t="shared" ref="Q284:Q347" si="60">M284*O284</f>
        <v>1</v>
      </c>
      <c r="R284" s="239">
        <v>1</v>
      </c>
      <c r="S284" s="240">
        <f t="shared" si="49"/>
        <v>2</v>
      </c>
      <c r="T284" s="216" t="s">
        <v>48</v>
      </c>
      <c r="U284" s="196" t="str">
        <f t="shared" ref="U284:U347" si="61">CONCATENATE(S284," ",T284)</f>
        <v>2 Hrs</v>
      </c>
    </row>
    <row r="285" spans="3:21" s="185" customFormat="1" ht="20.25" customHeight="1">
      <c r="C285" s="198"/>
      <c r="D285" s="203">
        <f t="shared" si="57"/>
        <v>285</v>
      </c>
      <c r="E285" s="207" t="s">
        <v>301</v>
      </c>
      <c r="F285" s="211">
        <f t="shared" ref="F285:F348" si="62">D284</f>
        <v>284</v>
      </c>
      <c r="G285" s="206" t="s">
        <v>44</v>
      </c>
      <c r="H285" s="206"/>
      <c r="I285" s="233">
        <f>I282</f>
        <v>18</v>
      </c>
      <c r="J285" s="211" t="str">
        <f>J280</f>
        <v>2500 mm</v>
      </c>
      <c r="K285" s="234">
        <v>1</v>
      </c>
      <c r="L285" s="208" t="s">
        <v>81</v>
      </c>
      <c r="M285" s="227">
        <v>1</v>
      </c>
      <c r="N285" s="208" t="s">
        <v>39</v>
      </c>
      <c r="O285" s="246">
        <f>VLOOKUP(I285,BM!$A$2:$X$104,11,FALSE)</f>
        <v>1</v>
      </c>
      <c r="P285" s="208" t="s">
        <v>112</v>
      </c>
      <c r="Q285" s="240">
        <f t="shared" si="60"/>
        <v>1</v>
      </c>
      <c r="R285" s="239">
        <v>1</v>
      </c>
      <c r="S285" s="240">
        <f t="shared" ref="S285:S348" si="63">ROUND(Q285+R285,2)</f>
        <v>2</v>
      </c>
      <c r="T285" s="216" t="s">
        <v>48</v>
      </c>
      <c r="U285" s="196" t="str">
        <f t="shared" si="61"/>
        <v>2 Hrs</v>
      </c>
    </row>
    <row r="286" spans="3:21" s="185" customFormat="1" ht="20.25" customHeight="1">
      <c r="C286" s="198"/>
      <c r="D286" s="203">
        <f t="shared" si="57"/>
        <v>286</v>
      </c>
      <c r="E286" s="207" t="s">
        <v>301</v>
      </c>
      <c r="F286" s="211">
        <f t="shared" si="62"/>
        <v>285</v>
      </c>
      <c r="G286" s="206" t="s">
        <v>44</v>
      </c>
      <c r="H286" s="206"/>
      <c r="I286" s="233">
        <f>I282</f>
        <v>18</v>
      </c>
      <c r="J286" s="211" t="str">
        <f>J281</f>
        <v>1250 mm</v>
      </c>
      <c r="K286" s="234">
        <v>1</v>
      </c>
      <c r="L286" s="208" t="s">
        <v>81</v>
      </c>
      <c r="M286" s="227">
        <v>1</v>
      </c>
      <c r="N286" s="208" t="s">
        <v>39</v>
      </c>
      <c r="O286" s="246">
        <f>VLOOKUP(I286,BM!$A$2:$X$104,11,FALSE)</f>
        <v>1</v>
      </c>
      <c r="P286" s="208" t="s">
        <v>112</v>
      </c>
      <c r="Q286" s="240">
        <f t="shared" si="60"/>
        <v>1</v>
      </c>
      <c r="R286" s="239">
        <v>1</v>
      </c>
      <c r="S286" s="240">
        <f t="shared" si="63"/>
        <v>2</v>
      </c>
      <c r="T286" s="216" t="s">
        <v>48</v>
      </c>
      <c r="U286" s="196" t="str">
        <f t="shared" si="61"/>
        <v>2 Hrs</v>
      </c>
    </row>
    <row r="287" spans="3:21" s="185" customFormat="1" ht="20.25" customHeight="1">
      <c r="C287" s="198"/>
      <c r="D287" s="203">
        <f t="shared" si="57"/>
        <v>287</v>
      </c>
      <c r="E287" s="207" t="s">
        <v>301</v>
      </c>
      <c r="F287" s="211">
        <f t="shared" si="62"/>
        <v>286</v>
      </c>
      <c r="G287" s="206" t="s">
        <v>44</v>
      </c>
      <c r="H287" s="206"/>
      <c r="I287" s="233">
        <f>I282</f>
        <v>18</v>
      </c>
      <c r="J287" s="211" t="str">
        <f>J282</f>
        <v>0 mm</v>
      </c>
      <c r="K287" s="234">
        <v>1</v>
      </c>
      <c r="L287" s="208" t="s">
        <v>81</v>
      </c>
      <c r="M287" s="227">
        <v>1</v>
      </c>
      <c r="N287" s="208" t="s">
        <v>39</v>
      </c>
      <c r="O287" s="246">
        <f>VLOOKUP(I287,BM!$A$2:$X$104,11,FALSE)</f>
        <v>1</v>
      </c>
      <c r="P287" s="208" t="s">
        <v>112</v>
      </c>
      <c r="Q287" s="240">
        <f t="shared" si="60"/>
        <v>1</v>
      </c>
      <c r="R287" s="239">
        <v>1</v>
      </c>
      <c r="S287" s="240">
        <f t="shared" si="63"/>
        <v>2</v>
      </c>
      <c r="T287" s="216" t="s">
        <v>48</v>
      </c>
      <c r="U287" s="196" t="str">
        <f t="shared" si="61"/>
        <v>2 Hrs</v>
      </c>
    </row>
    <row r="288" spans="3:21" s="185" customFormat="1" ht="20.25" customHeight="1">
      <c r="C288" s="198">
        <f>D288</f>
        <v>288</v>
      </c>
      <c r="D288" s="203">
        <f t="shared" si="57"/>
        <v>288</v>
      </c>
      <c r="E288" s="209" t="s">
        <v>302</v>
      </c>
      <c r="F288" s="210">
        <f>D283</f>
        <v>283</v>
      </c>
      <c r="G288" s="206"/>
      <c r="H288" s="206"/>
      <c r="I288" s="208"/>
      <c r="J288" s="208"/>
      <c r="K288" s="234"/>
      <c r="L288" s="208"/>
      <c r="M288" s="217"/>
      <c r="N288" s="208"/>
      <c r="O288" s="218"/>
      <c r="P288" s="208"/>
      <c r="Q288" s="240"/>
      <c r="R288" s="239"/>
      <c r="S288" s="240"/>
      <c r="T288" s="216"/>
      <c r="U288" s="196"/>
    </row>
    <row r="289" spans="3:21" s="185" customFormat="1" ht="20.25" customHeight="1">
      <c r="C289" s="198"/>
      <c r="D289" s="203">
        <f t="shared" si="57"/>
        <v>289</v>
      </c>
      <c r="E289" s="207" t="s">
        <v>303</v>
      </c>
      <c r="F289" s="211"/>
      <c r="G289" s="206" t="s">
        <v>115</v>
      </c>
      <c r="H289" s="206"/>
      <c r="I289" s="224">
        <v>12</v>
      </c>
      <c r="J289" s="211" t="str">
        <f>J284</f>
        <v>2500 mm</v>
      </c>
      <c r="K289" s="234">
        <v>1</v>
      </c>
      <c r="L289" s="208" t="s">
        <v>81</v>
      </c>
      <c r="M289" s="227">
        <f t="shared" si="59"/>
        <v>2.5</v>
      </c>
      <c r="N289" s="208" t="s">
        <v>139</v>
      </c>
      <c r="O289" s="246">
        <f>VLOOKUP(I289,BM!$A$2:$X$104,12,FALSE)</f>
        <v>2.5</v>
      </c>
      <c r="P289" s="208" t="s">
        <v>112</v>
      </c>
      <c r="Q289" s="240">
        <f t="shared" si="60"/>
        <v>6.25</v>
      </c>
      <c r="R289" s="239">
        <v>1</v>
      </c>
      <c r="S289" s="240">
        <f t="shared" si="63"/>
        <v>7.25</v>
      </c>
      <c r="T289" s="216" t="s">
        <v>48</v>
      </c>
      <c r="U289" s="196" t="str">
        <f t="shared" si="61"/>
        <v>7.25 Hrs</v>
      </c>
    </row>
    <row r="290" spans="3:21" s="185" customFormat="1" ht="20.25" customHeight="1">
      <c r="C290" s="198"/>
      <c r="D290" s="203">
        <f t="shared" si="57"/>
        <v>290</v>
      </c>
      <c r="E290" s="207" t="s">
        <v>303</v>
      </c>
      <c r="F290" s="211">
        <f t="shared" si="62"/>
        <v>289</v>
      </c>
      <c r="G290" s="206" t="s">
        <v>115</v>
      </c>
      <c r="H290" s="206"/>
      <c r="I290" s="233">
        <f>I289</f>
        <v>12</v>
      </c>
      <c r="J290" s="211" t="str">
        <f>J285</f>
        <v>2500 mm</v>
      </c>
      <c r="K290" s="234">
        <v>1</v>
      </c>
      <c r="L290" s="208" t="s">
        <v>81</v>
      </c>
      <c r="M290" s="227">
        <f t="shared" si="59"/>
        <v>2.5</v>
      </c>
      <c r="N290" s="208" t="s">
        <v>139</v>
      </c>
      <c r="O290" s="246">
        <f>VLOOKUP(I290,BM!$A$2:$X$104,12,FALSE)</f>
        <v>2.5</v>
      </c>
      <c r="P290" s="208" t="s">
        <v>112</v>
      </c>
      <c r="Q290" s="240">
        <f t="shared" si="60"/>
        <v>6.25</v>
      </c>
      <c r="R290" s="239">
        <v>1</v>
      </c>
      <c r="S290" s="240">
        <f t="shared" si="63"/>
        <v>7.25</v>
      </c>
      <c r="T290" s="216" t="s">
        <v>48</v>
      </c>
      <c r="U290" s="196" t="str">
        <f t="shared" si="61"/>
        <v>7.25 Hrs</v>
      </c>
    </row>
    <row r="291" spans="3:21" s="185" customFormat="1" ht="20.25" customHeight="1">
      <c r="C291" s="198"/>
      <c r="D291" s="203">
        <f t="shared" si="57"/>
        <v>291</v>
      </c>
      <c r="E291" s="207" t="s">
        <v>303</v>
      </c>
      <c r="F291" s="211">
        <f t="shared" si="62"/>
        <v>290</v>
      </c>
      <c r="G291" s="206" t="s">
        <v>115</v>
      </c>
      <c r="H291" s="206"/>
      <c r="I291" s="233">
        <f>I290</f>
        <v>12</v>
      </c>
      <c r="J291" s="211" t="str">
        <f>J286</f>
        <v>1250 mm</v>
      </c>
      <c r="K291" s="234">
        <v>1</v>
      </c>
      <c r="L291" s="208" t="s">
        <v>81</v>
      </c>
      <c r="M291" s="227">
        <f t="shared" si="59"/>
        <v>1.25</v>
      </c>
      <c r="N291" s="208" t="s">
        <v>139</v>
      </c>
      <c r="O291" s="246">
        <f>VLOOKUP(I291,BM!$A$2:$X$104,12,FALSE)</f>
        <v>2.5</v>
      </c>
      <c r="P291" s="208" t="s">
        <v>112</v>
      </c>
      <c r="Q291" s="240">
        <f t="shared" si="60"/>
        <v>3.125</v>
      </c>
      <c r="R291" s="239">
        <v>1</v>
      </c>
      <c r="S291" s="240">
        <f t="shared" si="63"/>
        <v>4.13</v>
      </c>
      <c r="T291" s="216" t="s">
        <v>48</v>
      </c>
      <c r="U291" s="196" t="str">
        <f t="shared" si="61"/>
        <v>4.13 Hrs</v>
      </c>
    </row>
    <row r="292" spans="3:21" s="185" customFormat="1" ht="20.25" customHeight="1">
      <c r="C292" s="198"/>
      <c r="D292" s="203">
        <f t="shared" si="57"/>
        <v>292</v>
      </c>
      <c r="E292" s="207" t="s">
        <v>303</v>
      </c>
      <c r="F292" s="211">
        <f t="shared" si="62"/>
        <v>291</v>
      </c>
      <c r="G292" s="206" t="s">
        <v>115</v>
      </c>
      <c r="H292" s="206"/>
      <c r="I292" s="233">
        <f>I291</f>
        <v>12</v>
      </c>
      <c r="J292" s="211" t="str">
        <f>J287</f>
        <v>0 mm</v>
      </c>
      <c r="K292" s="234">
        <v>1</v>
      </c>
      <c r="L292" s="208" t="s">
        <v>81</v>
      </c>
      <c r="M292" s="227">
        <f t="shared" si="59"/>
        <v>0</v>
      </c>
      <c r="N292" s="208" t="s">
        <v>139</v>
      </c>
      <c r="O292" s="246">
        <f>VLOOKUP(I292,BM!$A$2:$X$104,12,FALSE)</f>
        <v>2.5</v>
      </c>
      <c r="P292" s="208" t="s">
        <v>112</v>
      </c>
      <c r="Q292" s="240">
        <f t="shared" si="60"/>
        <v>0</v>
      </c>
      <c r="R292" s="239">
        <v>1</v>
      </c>
      <c r="S292" s="240">
        <f t="shared" si="63"/>
        <v>1</v>
      </c>
      <c r="T292" s="216" t="s">
        <v>48</v>
      </c>
      <c r="U292" s="196" t="str">
        <f t="shared" si="61"/>
        <v>1 Hrs</v>
      </c>
    </row>
    <row r="293" spans="3:21" s="185" customFormat="1" ht="20.25" customHeight="1">
      <c r="C293" s="198">
        <f>D293</f>
        <v>293</v>
      </c>
      <c r="D293" s="203">
        <f t="shared" si="57"/>
        <v>293</v>
      </c>
      <c r="E293" s="209" t="s">
        <v>304</v>
      </c>
      <c r="F293" s="210">
        <f>D288</f>
        <v>288</v>
      </c>
      <c r="G293" s="206"/>
      <c r="H293" s="206"/>
      <c r="I293" s="208"/>
      <c r="J293" s="208"/>
      <c r="K293" s="234"/>
      <c r="L293" s="208"/>
      <c r="M293" s="217"/>
      <c r="N293" s="208"/>
      <c r="O293" s="218"/>
      <c r="P293" s="208"/>
      <c r="Q293" s="240"/>
      <c r="R293" s="239"/>
      <c r="S293" s="240"/>
      <c r="T293" s="216"/>
      <c r="U293" s="196"/>
    </row>
    <row r="294" spans="3:21" s="185" customFormat="1" ht="20.25" customHeight="1">
      <c r="C294" s="198"/>
      <c r="D294" s="203">
        <f t="shared" si="57"/>
        <v>294</v>
      </c>
      <c r="E294" s="207" t="s">
        <v>305</v>
      </c>
      <c r="F294" s="211"/>
      <c r="G294" s="206" t="s">
        <v>61</v>
      </c>
      <c r="H294" s="206"/>
      <c r="I294" s="224">
        <v>18</v>
      </c>
      <c r="J294" s="211" t="str">
        <f>J289</f>
        <v>2500 mm</v>
      </c>
      <c r="K294" s="234">
        <v>1</v>
      </c>
      <c r="L294" s="208" t="s">
        <v>81</v>
      </c>
      <c r="M294" s="227">
        <f t="shared" si="59"/>
        <v>2.5</v>
      </c>
      <c r="N294" s="208" t="s">
        <v>139</v>
      </c>
      <c r="O294" s="246">
        <f>VLOOKUP(I294,BM!$A$2:$X$104,18,FALSE)</f>
        <v>1</v>
      </c>
      <c r="P294" s="208" t="s">
        <v>112</v>
      </c>
      <c r="Q294" s="240">
        <f t="shared" si="60"/>
        <v>2.5</v>
      </c>
      <c r="R294" s="239">
        <v>1</v>
      </c>
      <c r="S294" s="240">
        <f t="shared" si="63"/>
        <v>3.5</v>
      </c>
      <c r="T294" s="216" t="s">
        <v>48</v>
      </c>
      <c r="U294" s="196" t="str">
        <f t="shared" si="61"/>
        <v>3.5 Hrs</v>
      </c>
    </row>
    <row r="295" spans="3:21" s="185" customFormat="1" ht="20.25" customHeight="1">
      <c r="C295" s="198"/>
      <c r="D295" s="203">
        <f t="shared" si="57"/>
        <v>295</v>
      </c>
      <c r="E295" s="207" t="s">
        <v>305</v>
      </c>
      <c r="F295" s="211">
        <f t="shared" si="62"/>
        <v>294</v>
      </c>
      <c r="G295" s="206" t="s">
        <v>61</v>
      </c>
      <c r="H295" s="206"/>
      <c r="I295" s="224">
        <v>18</v>
      </c>
      <c r="J295" s="211" t="str">
        <f>J290</f>
        <v>2500 mm</v>
      </c>
      <c r="K295" s="234">
        <v>1</v>
      </c>
      <c r="L295" s="208" t="s">
        <v>81</v>
      </c>
      <c r="M295" s="227">
        <f t="shared" si="59"/>
        <v>2.5</v>
      </c>
      <c r="N295" s="208" t="s">
        <v>139</v>
      </c>
      <c r="O295" s="246">
        <f>VLOOKUP(I295,BM!$A$2:$X$104,18,FALSE)</f>
        <v>1</v>
      </c>
      <c r="P295" s="208" t="s">
        <v>112</v>
      </c>
      <c r="Q295" s="240">
        <f t="shared" si="60"/>
        <v>2.5</v>
      </c>
      <c r="R295" s="239">
        <v>1</v>
      </c>
      <c r="S295" s="240">
        <f t="shared" si="63"/>
        <v>3.5</v>
      </c>
      <c r="T295" s="216" t="s">
        <v>48</v>
      </c>
      <c r="U295" s="196" t="str">
        <f t="shared" si="61"/>
        <v>3.5 Hrs</v>
      </c>
    </row>
    <row r="296" spans="3:21" s="185" customFormat="1" ht="20.25" customHeight="1">
      <c r="C296" s="198"/>
      <c r="D296" s="203">
        <f t="shared" si="57"/>
        <v>296</v>
      </c>
      <c r="E296" s="207" t="s">
        <v>305</v>
      </c>
      <c r="F296" s="211">
        <f t="shared" si="62"/>
        <v>295</v>
      </c>
      <c r="G296" s="206" t="s">
        <v>61</v>
      </c>
      <c r="H296" s="206"/>
      <c r="I296" s="224">
        <v>18</v>
      </c>
      <c r="J296" s="211" t="str">
        <f>J291</f>
        <v>1250 mm</v>
      </c>
      <c r="K296" s="234">
        <v>1</v>
      </c>
      <c r="L296" s="208" t="s">
        <v>81</v>
      </c>
      <c r="M296" s="227">
        <f t="shared" si="59"/>
        <v>1.25</v>
      </c>
      <c r="N296" s="208" t="s">
        <v>139</v>
      </c>
      <c r="O296" s="246">
        <f>VLOOKUP(I296,BM!$A$2:$X$104,18,FALSE)</f>
        <v>1</v>
      </c>
      <c r="P296" s="208" t="s">
        <v>112</v>
      </c>
      <c r="Q296" s="240">
        <f t="shared" si="60"/>
        <v>1.25</v>
      </c>
      <c r="R296" s="239">
        <v>1</v>
      </c>
      <c r="S296" s="240">
        <f t="shared" si="63"/>
        <v>2.25</v>
      </c>
      <c r="T296" s="216" t="s">
        <v>48</v>
      </c>
      <c r="U296" s="196" t="str">
        <f t="shared" si="61"/>
        <v>2.25 Hrs</v>
      </c>
    </row>
    <row r="297" spans="3:21" s="185" customFormat="1" ht="20.25" customHeight="1">
      <c r="C297" s="198"/>
      <c r="D297" s="203">
        <f t="shared" si="57"/>
        <v>297</v>
      </c>
      <c r="E297" s="207" t="s">
        <v>305</v>
      </c>
      <c r="F297" s="211">
        <f t="shared" si="62"/>
        <v>296</v>
      </c>
      <c r="G297" s="206" t="s">
        <v>61</v>
      </c>
      <c r="H297" s="206"/>
      <c r="I297" s="224">
        <v>18</v>
      </c>
      <c r="J297" s="211" t="str">
        <f>J292</f>
        <v>0 mm</v>
      </c>
      <c r="K297" s="234">
        <v>1</v>
      </c>
      <c r="L297" s="208" t="s">
        <v>81</v>
      </c>
      <c r="M297" s="227">
        <f t="shared" si="59"/>
        <v>0</v>
      </c>
      <c r="N297" s="208" t="s">
        <v>139</v>
      </c>
      <c r="O297" s="246">
        <f>VLOOKUP(I297,BM!$A$2:$X$104,18,FALSE)</f>
        <v>1</v>
      </c>
      <c r="P297" s="208" t="s">
        <v>112</v>
      </c>
      <c r="Q297" s="240">
        <f t="shared" si="60"/>
        <v>0</v>
      </c>
      <c r="R297" s="239">
        <v>1</v>
      </c>
      <c r="S297" s="240">
        <f t="shared" si="63"/>
        <v>1</v>
      </c>
      <c r="T297" s="216" t="s">
        <v>48</v>
      </c>
      <c r="U297" s="196" t="str">
        <f t="shared" si="61"/>
        <v>1 Hrs</v>
      </c>
    </row>
    <row r="298" spans="3:21" s="185" customFormat="1" ht="20.25" customHeight="1">
      <c r="C298" s="198">
        <f>D298</f>
        <v>298</v>
      </c>
      <c r="D298" s="203">
        <f t="shared" si="57"/>
        <v>298</v>
      </c>
      <c r="E298" s="209" t="s">
        <v>306</v>
      </c>
      <c r="F298" s="210">
        <f>D293</f>
        <v>293</v>
      </c>
      <c r="G298" s="206"/>
      <c r="H298" s="206"/>
      <c r="I298" s="208"/>
      <c r="J298" s="208"/>
      <c r="K298" s="234"/>
      <c r="L298" s="208"/>
      <c r="M298" s="217"/>
      <c r="N298" s="208"/>
      <c r="O298" s="218"/>
      <c r="P298" s="208"/>
      <c r="Q298" s="240"/>
      <c r="R298" s="239"/>
      <c r="S298" s="240"/>
      <c r="T298" s="216"/>
      <c r="U298" s="196"/>
    </row>
    <row r="299" spans="3:21" s="185" customFormat="1" ht="20.25" customHeight="1">
      <c r="C299" s="198"/>
      <c r="D299" s="203">
        <f t="shared" si="57"/>
        <v>299</v>
      </c>
      <c r="E299" s="207" t="s">
        <v>307</v>
      </c>
      <c r="F299" s="211"/>
      <c r="G299" s="206" t="s">
        <v>115</v>
      </c>
      <c r="H299" s="206"/>
      <c r="I299" s="224">
        <v>6</v>
      </c>
      <c r="J299" s="211" t="str">
        <f>J294</f>
        <v>2500 mm</v>
      </c>
      <c r="K299" s="234">
        <v>1</v>
      </c>
      <c r="L299" s="208" t="s">
        <v>81</v>
      </c>
      <c r="M299" s="227">
        <f t="shared" si="59"/>
        <v>2.5</v>
      </c>
      <c r="N299" s="208" t="s">
        <v>139</v>
      </c>
      <c r="O299" s="246">
        <f>VLOOKUP(I299,BM!$A$2:$X$104,12,FALSE)</f>
        <v>0.9</v>
      </c>
      <c r="P299" s="208" t="s">
        <v>112</v>
      </c>
      <c r="Q299" s="240">
        <f t="shared" si="60"/>
        <v>2.25</v>
      </c>
      <c r="R299" s="239">
        <v>1</v>
      </c>
      <c r="S299" s="240">
        <f t="shared" si="63"/>
        <v>3.25</v>
      </c>
      <c r="T299" s="216" t="s">
        <v>48</v>
      </c>
      <c r="U299" s="196" t="str">
        <f t="shared" si="61"/>
        <v>3.25 Hrs</v>
      </c>
    </row>
    <row r="300" spans="3:21" s="185" customFormat="1" ht="20.25" customHeight="1">
      <c r="C300" s="198"/>
      <c r="D300" s="203">
        <f t="shared" si="57"/>
        <v>300</v>
      </c>
      <c r="E300" s="207" t="s">
        <v>307</v>
      </c>
      <c r="F300" s="211">
        <f t="shared" si="62"/>
        <v>299</v>
      </c>
      <c r="G300" s="206" t="s">
        <v>115</v>
      </c>
      <c r="H300" s="206"/>
      <c r="I300" s="233">
        <f>I299</f>
        <v>6</v>
      </c>
      <c r="J300" s="211" t="str">
        <f>J295</f>
        <v>2500 mm</v>
      </c>
      <c r="K300" s="234">
        <v>1</v>
      </c>
      <c r="L300" s="208" t="s">
        <v>81</v>
      </c>
      <c r="M300" s="227">
        <f t="shared" si="59"/>
        <v>2.5</v>
      </c>
      <c r="N300" s="208" t="s">
        <v>139</v>
      </c>
      <c r="O300" s="246">
        <f>VLOOKUP(I300,BM!$A$2:$X$104,12,FALSE)</f>
        <v>0.9</v>
      </c>
      <c r="P300" s="208" t="s">
        <v>112</v>
      </c>
      <c r="Q300" s="240">
        <f t="shared" si="60"/>
        <v>2.25</v>
      </c>
      <c r="R300" s="239">
        <v>1</v>
      </c>
      <c r="S300" s="240">
        <f t="shared" si="63"/>
        <v>3.25</v>
      </c>
      <c r="T300" s="216" t="s">
        <v>48</v>
      </c>
      <c r="U300" s="196" t="str">
        <f t="shared" si="61"/>
        <v>3.25 Hrs</v>
      </c>
    </row>
    <row r="301" spans="3:21" s="185" customFormat="1" ht="20.25" customHeight="1">
      <c r="C301" s="198"/>
      <c r="D301" s="203">
        <f t="shared" si="57"/>
        <v>301</v>
      </c>
      <c r="E301" s="207" t="s">
        <v>307</v>
      </c>
      <c r="F301" s="211">
        <f t="shared" si="62"/>
        <v>300</v>
      </c>
      <c r="G301" s="206" t="s">
        <v>115</v>
      </c>
      <c r="H301" s="206"/>
      <c r="I301" s="233">
        <f>I300</f>
        <v>6</v>
      </c>
      <c r="J301" s="211" t="str">
        <f>J296</f>
        <v>1250 mm</v>
      </c>
      <c r="K301" s="234">
        <v>1</v>
      </c>
      <c r="L301" s="208" t="s">
        <v>81</v>
      </c>
      <c r="M301" s="227">
        <f t="shared" si="59"/>
        <v>1.25</v>
      </c>
      <c r="N301" s="208" t="s">
        <v>139</v>
      </c>
      <c r="O301" s="246">
        <f>VLOOKUP(I301,BM!$A$2:$X$104,12,FALSE)</f>
        <v>0.9</v>
      </c>
      <c r="P301" s="208" t="s">
        <v>112</v>
      </c>
      <c r="Q301" s="240">
        <f t="shared" si="60"/>
        <v>1.125</v>
      </c>
      <c r="R301" s="239">
        <v>1</v>
      </c>
      <c r="S301" s="240">
        <f t="shared" si="63"/>
        <v>2.13</v>
      </c>
      <c r="T301" s="216" t="s">
        <v>48</v>
      </c>
      <c r="U301" s="196" t="str">
        <f t="shared" si="61"/>
        <v>2.13 Hrs</v>
      </c>
    </row>
    <row r="302" spans="3:21" s="185" customFormat="1" ht="20.25" customHeight="1">
      <c r="C302" s="198"/>
      <c r="D302" s="203">
        <f t="shared" si="57"/>
        <v>302</v>
      </c>
      <c r="E302" s="207" t="s">
        <v>307</v>
      </c>
      <c r="F302" s="211">
        <f t="shared" si="62"/>
        <v>301</v>
      </c>
      <c r="G302" s="206" t="s">
        <v>115</v>
      </c>
      <c r="H302" s="206"/>
      <c r="I302" s="233">
        <f>I301</f>
        <v>6</v>
      </c>
      <c r="J302" s="211" t="str">
        <f>J297</f>
        <v>0 mm</v>
      </c>
      <c r="K302" s="234">
        <v>1</v>
      </c>
      <c r="L302" s="208" t="s">
        <v>81</v>
      </c>
      <c r="M302" s="227">
        <f t="shared" si="59"/>
        <v>0</v>
      </c>
      <c r="N302" s="208" t="s">
        <v>139</v>
      </c>
      <c r="O302" s="246">
        <f>VLOOKUP(I302,BM!$A$2:$X$104,12,FALSE)</f>
        <v>0.9</v>
      </c>
      <c r="P302" s="208" t="s">
        <v>112</v>
      </c>
      <c r="Q302" s="240">
        <f t="shared" si="60"/>
        <v>0</v>
      </c>
      <c r="R302" s="239">
        <v>1</v>
      </c>
      <c r="S302" s="240">
        <f t="shared" si="63"/>
        <v>1</v>
      </c>
      <c r="T302" s="216" t="s">
        <v>48</v>
      </c>
      <c r="U302" s="196" t="str">
        <f t="shared" si="61"/>
        <v>1 Hrs</v>
      </c>
    </row>
    <row r="303" spans="3:21" s="185" customFormat="1" ht="20.25" customHeight="1">
      <c r="C303" s="198">
        <f>D303</f>
        <v>303</v>
      </c>
      <c r="D303" s="203">
        <f t="shared" si="57"/>
        <v>303</v>
      </c>
      <c r="E303" s="209" t="s">
        <v>308</v>
      </c>
      <c r="F303" s="210">
        <f>D298</f>
        <v>298</v>
      </c>
      <c r="G303" s="206"/>
      <c r="H303" s="206"/>
      <c r="I303" s="208"/>
      <c r="J303" s="208"/>
      <c r="K303" s="234"/>
      <c r="L303" s="208"/>
      <c r="M303" s="217"/>
      <c r="N303" s="208"/>
      <c r="O303" s="218"/>
      <c r="P303" s="208"/>
      <c r="Q303" s="240"/>
      <c r="R303" s="239"/>
      <c r="S303" s="240"/>
      <c r="T303" s="216"/>
      <c r="U303" s="196"/>
    </row>
    <row r="304" spans="3:21" s="185" customFormat="1" ht="20.25" customHeight="1">
      <c r="C304" s="198"/>
      <c r="D304" s="203">
        <f t="shared" si="57"/>
        <v>304</v>
      </c>
      <c r="E304" s="207" t="s">
        <v>309</v>
      </c>
      <c r="F304" s="211"/>
      <c r="G304" s="206" t="s">
        <v>61</v>
      </c>
      <c r="H304" s="206"/>
      <c r="I304" s="233">
        <f>I294</f>
        <v>18</v>
      </c>
      <c r="J304" s="211" t="str">
        <f>J299</f>
        <v>2500 mm</v>
      </c>
      <c r="K304" s="234">
        <v>1</v>
      </c>
      <c r="L304" s="208" t="s">
        <v>81</v>
      </c>
      <c r="M304" s="227">
        <f t="shared" si="59"/>
        <v>2.5</v>
      </c>
      <c r="N304" s="208" t="s">
        <v>139</v>
      </c>
      <c r="O304" s="246">
        <f>VLOOKUP(I304,BM!$A$2:$X$104,20,FALSE)</f>
        <v>0.5</v>
      </c>
      <c r="P304" s="208" t="s">
        <v>112</v>
      </c>
      <c r="Q304" s="240">
        <f t="shared" si="60"/>
        <v>1.25</v>
      </c>
      <c r="R304" s="239">
        <v>1</v>
      </c>
      <c r="S304" s="240">
        <f t="shared" si="63"/>
        <v>2.25</v>
      </c>
      <c r="T304" s="216" t="s">
        <v>48</v>
      </c>
      <c r="U304" s="196" t="str">
        <f t="shared" si="61"/>
        <v>2.25 Hrs</v>
      </c>
    </row>
    <row r="305" spans="3:21" s="185" customFormat="1" ht="20.25" customHeight="1">
      <c r="C305" s="198"/>
      <c r="D305" s="203">
        <f t="shared" si="57"/>
        <v>305</v>
      </c>
      <c r="E305" s="207" t="s">
        <v>309</v>
      </c>
      <c r="F305" s="211">
        <f t="shared" si="62"/>
        <v>304</v>
      </c>
      <c r="G305" s="206" t="s">
        <v>61</v>
      </c>
      <c r="H305" s="206"/>
      <c r="I305" s="233">
        <f t="shared" ref="I305:I307" si="64">I304</f>
        <v>18</v>
      </c>
      <c r="J305" s="211" t="str">
        <f>J300</f>
        <v>2500 mm</v>
      </c>
      <c r="K305" s="234">
        <v>1</v>
      </c>
      <c r="L305" s="208" t="s">
        <v>81</v>
      </c>
      <c r="M305" s="227">
        <f t="shared" si="59"/>
        <v>2.5</v>
      </c>
      <c r="N305" s="208" t="s">
        <v>139</v>
      </c>
      <c r="O305" s="246">
        <f>VLOOKUP(I305,BM!$A$2:$X$104,20,FALSE)</f>
        <v>0.5</v>
      </c>
      <c r="P305" s="208" t="s">
        <v>112</v>
      </c>
      <c r="Q305" s="240">
        <f t="shared" si="60"/>
        <v>1.25</v>
      </c>
      <c r="R305" s="239">
        <v>1</v>
      </c>
      <c r="S305" s="240">
        <f t="shared" si="63"/>
        <v>2.25</v>
      </c>
      <c r="T305" s="216" t="s">
        <v>48</v>
      </c>
      <c r="U305" s="196" t="str">
        <f t="shared" si="61"/>
        <v>2.25 Hrs</v>
      </c>
    </row>
    <row r="306" spans="3:21" s="185" customFormat="1" ht="20.25" customHeight="1">
      <c r="C306" s="198"/>
      <c r="D306" s="203">
        <f t="shared" si="57"/>
        <v>306</v>
      </c>
      <c r="E306" s="207" t="s">
        <v>309</v>
      </c>
      <c r="F306" s="211">
        <f t="shared" si="62"/>
        <v>305</v>
      </c>
      <c r="G306" s="206" t="s">
        <v>61</v>
      </c>
      <c r="H306" s="206"/>
      <c r="I306" s="233">
        <f t="shared" si="64"/>
        <v>18</v>
      </c>
      <c r="J306" s="211" t="str">
        <f>J301</f>
        <v>1250 mm</v>
      </c>
      <c r="K306" s="234">
        <v>1</v>
      </c>
      <c r="L306" s="208" t="s">
        <v>81</v>
      </c>
      <c r="M306" s="227">
        <f t="shared" si="59"/>
        <v>1.25</v>
      </c>
      <c r="N306" s="208" t="s">
        <v>139</v>
      </c>
      <c r="O306" s="246">
        <f>VLOOKUP(I306,BM!$A$2:$X$104,20,FALSE)</f>
        <v>0.5</v>
      </c>
      <c r="P306" s="208" t="s">
        <v>112</v>
      </c>
      <c r="Q306" s="240">
        <f t="shared" si="60"/>
        <v>0.625</v>
      </c>
      <c r="R306" s="239">
        <v>1</v>
      </c>
      <c r="S306" s="240">
        <f t="shared" si="63"/>
        <v>1.63</v>
      </c>
      <c r="T306" s="216" t="s">
        <v>48</v>
      </c>
      <c r="U306" s="196" t="str">
        <f t="shared" si="61"/>
        <v>1.63 Hrs</v>
      </c>
    </row>
    <row r="307" spans="3:21" s="185" customFormat="1" ht="20.25" customHeight="1">
      <c r="C307" s="198"/>
      <c r="D307" s="203">
        <f t="shared" si="57"/>
        <v>307</v>
      </c>
      <c r="E307" s="207" t="s">
        <v>309</v>
      </c>
      <c r="F307" s="211">
        <f t="shared" si="62"/>
        <v>306</v>
      </c>
      <c r="G307" s="206" t="s">
        <v>61</v>
      </c>
      <c r="H307" s="206"/>
      <c r="I307" s="233">
        <f t="shared" si="64"/>
        <v>18</v>
      </c>
      <c r="J307" s="211" t="str">
        <f>J302</f>
        <v>0 mm</v>
      </c>
      <c r="K307" s="234">
        <v>1</v>
      </c>
      <c r="L307" s="208" t="s">
        <v>81</v>
      </c>
      <c r="M307" s="227">
        <f t="shared" si="59"/>
        <v>0</v>
      </c>
      <c r="N307" s="208" t="s">
        <v>139</v>
      </c>
      <c r="O307" s="246">
        <f>VLOOKUP(I307,BM!$A$2:$X$104,20,FALSE)</f>
        <v>0.5</v>
      </c>
      <c r="P307" s="208" t="s">
        <v>112</v>
      </c>
      <c r="Q307" s="240">
        <f t="shared" si="60"/>
        <v>0</v>
      </c>
      <c r="R307" s="239">
        <v>1</v>
      </c>
      <c r="S307" s="240">
        <f t="shared" si="63"/>
        <v>1</v>
      </c>
      <c r="T307" s="216" t="s">
        <v>48</v>
      </c>
      <c r="U307" s="196" t="str">
        <f t="shared" si="61"/>
        <v>1 Hrs</v>
      </c>
    </row>
    <row r="308" spans="3:21" s="185" customFormat="1" ht="20.25" customHeight="1">
      <c r="C308" s="198">
        <f>D308</f>
        <v>308</v>
      </c>
      <c r="D308" s="203">
        <f t="shared" si="57"/>
        <v>308</v>
      </c>
      <c r="E308" s="209" t="s">
        <v>310</v>
      </c>
      <c r="F308" s="210">
        <f>D303</f>
        <v>303</v>
      </c>
      <c r="G308" s="206"/>
      <c r="H308" s="206"/>
      <c r="I308" s="208"/>
      <c r="J308" s="208"/>
      <c r="K308" s="234"/>
      <c r="L308" s="208"/>
      <c r="M308" s="217"/>
      <c r="N308" s="208"/>
      <c r="O308" s="218"/>
      <c r="P308" s="208"/>
      <c r="Q308" s="240"/>
      <c r="R308" s="239"/>
      <c r="S308" s="240"/>
      <c r="T308" s="216"/>
      <c r="U308" s="196"/>
    </row>
    <row r="309" spans="3:21" s="185" customFormat="1" ht="20.25" customHeight="1">
      <c r="C309" s="198"/>
      <c r="D309" s="203">
        <f t="shared" si="57"/>
        <v>309</v>
      </c>
      <c r="E309" s="207" t="s">
        <v>311</v>
      </c>
      <c r="F309" s="211"/>
      <c r="G309" s="206" t="s">
        <v>312</v>
      </c>
      <c r="H309" s="206"/>
      <c r="I309" s="233">
        <f>I307</f>
        <v>18</v>
      </c>
      <c r="J309" s="211" t="str">
        <f>J304</f>
        <v>2500 mm</v>
      </c>
      <c r="K309" s="234">
        <v>1</v>
      </c>
      <c r="L309" s="208" t="s">
        <v>81</v>
      </c>
      <c r="M309" s="217">
        <v>1</v>
      </c>
      <c r="N309" s="208" t="s">
        <v>39</v>
      </c>
      <c r="O309" s="218">
        <v>1</v>
      </c>
      <c r="P309" s="208" t="s">
        <v>41</v>
      </c>
      <c r="Q309" s="240">
        <f t="shared" si="60"/>
        <v>1</v>
      </c>
      <c r="R309" s="239"/>
      <c r="S309" s="240">
        <f t="shared" si="63"/>
        <v>1</v>
      </c>
      <c r="T309" s="216" t="s">
        <v>42</v>
      </c>
      <c r="U309" s="196" t="str">
        <f t="shared" si="61"/>
        <v>1 Days</v>
      </c>
    </row>
    <row r="310" spans="3:21" s="185" customFormat="1" ht="20.25" customHeight="1">
      <c r="C310" s="198"/>
      <c r="D310" s="203">
        <f t="shared" si="57"/>
        <v>310</v>
      </c>
      <c r="E310" s="207" t="s">
        <v>311</v>
      </c>
      <c r="F310" s="211">
        <f t="shared" si="62"/>
        <v>309</v>
      </c>
      <c r="G310" s="206" t="s">
        <v>312</v>
      </c>
      <c r="H310" s="206"/>
      <c r="I310" s="233">
        <f t="shared" ref="I310:I312" si="65">I309</f>
        <v>18</v>
      </c>
      <c r="J310" s="211" t="str">
        <f>J305</f>
        <v>2500 mm</v>
      </c>
      <c r="K310" s="234">
        <v>1</v>
      </c>
      <c r="L310" s="208" t="s">
        <v>81</v>
      </c>
      <c r="M310" s="217">
        <v>1</v>
      </c>
      <c r="N310" s="208" t="s">
        <v>39</v>
      </c>
      <c r="O310" s="246">
        <f t="shared" ref="O310:P312" si="66">O309</f>
        <v>1</v>
      </c>
      <c r="P310" s="211" t="str">
        <f t="shared" si="66"/>
        <v>Day</v>
      </c>
      <c r="Q310" s="240">
        <f t="shared" si="60"/>
        <v>1</v>
      </c>
      <c r="R310" s="239"/>
      <c r="S310" s="240">
        <f t="shared" si="63"/>
        <v>1</v>
      </c>
      <c r="T310" s="216" t="s">
        <v>42</v>
      </c>
      <c r="U310" s="196" t="str">
        <f t="shared" si="61"/>
        <v>1 Days</v>
      </c>
    </row>
    <row r="311" spans="3:21" s="185" customFormat="1" ht="20.25" customHeight="1">
      <c r="C311" s="198"/>
      <c r="D311" s="203">
        <f t="shared" si="57"/>
        <v>311</v>
      </c>
      <c r="E311" s="207" t="s">
        <v>311</v>
      </c>
      <c r="F311" s="211">
        <f t="shared" si="62"/>
        <v>310</v>
      </c>
      <c r="G311" s="206" t="s">
        <v>312</v>
      </c>
      <c r="H311" s="206"/>
      <c r="I311" s="233">
        <f t="shared" si="65"/>
        <v>18</v>
      </c>
      <c r="J311" s="211" t="str">
        <f>J306</f>
        <v>1250 mm</v>
      </c>
      <c r="K311" s="234">
        <v>1</v>
      </c>
      <c r="L311" s="208" t="s">
        <v>81</v>
      </c>
      <c r="M311" s="217">
        <v>1</v>
      </c>
      <c r="N311" s="208" t="s">
        <v>39</v>
      </c>
      <c r="O311" s="246">
        <f t="shared" si="66"/>
        <v>1</v>
      </c>
      <c r="P311" s="211" t="str">
        <f t="shared" si="66"/>
        <v>Day</v>
      </c>
      <c r="Q311" s="240">
        <f t="shared" si="60"/>
        <v>1</v>
      </c>
      <c r="R311" s="239"/>
      <c r="S311" s="240">
        <f t="shared" si="63"/>
        <v>1</v>
      </c>
      <c r="T311" s="216" t="s">
        <v>42</v>
      </c>
      <c r="U311" s="196" t="str">
        <f t="shared" si="61"/>
        <v>1 Days</v>
      </c>
    </row>
    <row r="312" spans="3:21" s="185" customFormat="1" ht="20.25" customHeight="1">
      <c r="C312" s="198"/>
      <c r="D312" s="203">
        <f t="shared" si="57"/>
        <v>312</v>
      </c>
      <c r="E312" s="207" t="s">
        <v>311</v>
      </c>
      <c r="F312" s="211">
        <f t="shared" si="62"/>
        <v>311</v>
      </c>
      <c r="G312" s="206" t="s">
        <v>312</v>
      </c>
      <c r="H312" s="206"/>
      <c r="I312" s="233">
        <f t="shared" si="65"/>
        <v>18</v>
      </c>
      <c r="J312" s="211" t="str">
        <f>J307</f>
        <v>0 mm</v>
      </c>
      <c r="K312" s="234">
        <v>1</v>
      </c>
      <c r="L312" s="208" t="s">
        <v>81</v>
      </c>
      <c r="M312" s="217">
        <v>1</v>
      </c>
      <c r="N312" s="208" t="s">
        <v>39</v>
      </c>
      <c r="O312" s="246">
        <f t="shared" si="66"/>
        <v>1</v>
      </c>
      <c r="P312" s="211" t="str">
        <f t="shared" si="66"/>
        <v>Day</v>
      </c>
      <c r="Q312" s="240">
        <f t="shared" si="60"/>
        <v>1</v>
      </c>
      <c r="R312" s="239"/>
      <c r="S312" s="240">
        <f t="shared" si="63"/>
        <v>1</v>
      </c>
      <c r="T312" s="216" t="s">
        <v>42</v>
      </c>
      <c r="U312" s="196" t="str">
        <f t="shared" si="61"/>
        <v>1 Days</v>
      </c>
    </row>
    <row r="313" spans="3:21" s="185" customFormat="1" ht="20.25" customHeight="1">
      <c r="C313" s="198">
        <f>D313</f>
        <v>313</v>
      </c>
      <c r="D313" s="203">
        <f t="shared" si="57"/>
        <v>313</v>
      </c>
      <c r="E313" s="209" t="s">
        <v>313</v>
      </c>
      <c r="F313" s="210">
        <f>D308</f>
        <v>308</v>
      </c>
      <c r="G313" s="206"/>
      <c r="H313" s="206"/>
      <c r="I313" s="208"/>
      <c r="J313" s="208"/>
      <c r="K313" s="234"/>
      <c r="L313" s="208"/>
      <c r="M313" s="217"/>
      <c r="N313" s="208"/>
      <c r="O313" s="218"/>
      <c r="P313" s="208"/>
      <c r="Q313" s="240">
        <f t="shared" si="60"/>
        <v>0</v>
      </c>
      <c r="R313" s="239"/>
      <c r="S313" s="240"/>
      <c r="T313" s="216"/>
      <c r="U313" s="196"/>
    </row>
    <row r="314" spans="3:21" s="185" customFormat="1" ht="20.25" customHeight="1">
      <c r="C314" s="198"/>
      <c r="D314" s="203">
        <f t="shared" si="57"/>
        <v>314</v>
      </c>
      <c r="E314" s="207" t="s">
        <v>314</v>
      </c>
      <c r="F314" s="211"/>
      <c r="G314" s="206" t="s">
        <v>286</v>
      </c>
      <c r="H314" s="206"/>
      <c r="I314" s="233">
        <f>I312</f>
        <v>18</v>
      </c>
      <c r="J314" s="211" t="str">
        <f>J309</f>
        <v>2500 mm</v>
      </c>
      <c r="K314" s="234">
        <v>1</v>
      </c>
      <c r="L314" s="208" t="s">
        <v>81</v>
      </c>
      <c r="M314" s="235">
        <f>K314</f>
        <v>1</v>
      </c>
      <c r="N314" s="208" t="s">
        <v>39</v>
      </c>
      <c r="O314" s="218">
        <v>3</v>
      </c>
      <c r="P314" s="208" t="s">
        <v>112</v>
      </c>
      <c r="Q314" s="240">
        <f t="shared" si="60"/>
        <v>3</v>
      </c>
      <c r="R314" s="239">
        <v>1</v>
      </c>
      <c r="S314" s="240">
        <f t="shared" si="63"/>
        <v>4</v>
      </c>
      <c r="T314" s="216" t="s">
        <v>48</v>
      </c>
      <c r="U314" s="196" t="str">
        <f t="shared" si="61"/>
        <v>4 Hrs</v>
      </c>
    </row>
    <row r="315" spans="3:21" s="185" customFormat="1" ht="20.25" customHeight="1">
      <c r="C315" s="198"/>
      <c r="D315" s="203">
        <f t="shared" si="57"/>
        <v>315</v>
      </c>
      <c r="E315" s="207" t="s">
        <v>314</v>
      </c>
      <c r="F315" s="211">
        <f t="shared" si="62"/>
        <v>314</v>
      </c>
      <c r="G315" s="206" t="s">
        <v>286</v>
      </c>
      <c r="H315" s="206"/>
      <c r="I315" s="233">
        <f>I312</f>
        <v>18</v>
      </c>
      <c r="J315" s="211" t="str">
        <f>J310</f>
        <v>2500 mm</v>
      </c>
      <c r="K315" s="234">
        <v>1</v>
      </c>
      <c r="L315" s="208" t="s">
        <v>81</v>
      </c>
      <c r="M315" s="235">
        <f>K315</f>
        <v>1</v>
      </c>
      <c r="N315" s="208" t="s">
        <v>39</v>
      </c>
      <c r="O315" s="246">
        <f>O314</f>
        <v>3</v>
      </c>
      <c r="P315" s="208" t="s">
        <v>112</v>
      </c>
      <c r="Q315" s="240">
        <f t="shared" si="60"/>
        <v>3</v>
      </c>
      <c r="R315" s="239">
        <v>1</v>
      </c>
      <c r="S315" s="240">
        <f t="shared" si="63"/>
        <v>4</v>
      </c>
      <c r="T315" s="216" t="s">
        <v>48</v>
      </c>
      <c r="U315" s="196" t="str">
        <f t="shared" si="61"/>
        <v>4 Hrs</v>
      </c>
    </row>
    <row r="316" spans="3:21" s="185" customFormat="1" ht="20.25" customHeight="1">
      <c r="C316" s="198"/>
      <c r="D316" s="203">
        <f t="shared" si="57"/>
        <v>316</v>
      </c>
      <c r="E316" s="207" t="s">
        <v>314</v>
      </c>
      <c r="F316" s="211">
        <f t="shared" si="62"/>
        <v>315</v>
      </c>
      <c r="G316" s="206" t="s">
        <v>286</v>
      </c>
      <c r="H316" s="206"/>
      <c r="I316" s="233">
        <f>I312</f>
        <v>18</v>
      </c>
      <c r="J316" s="211" t="str">
        <f>J311</f>
        <v>1250 mm</v>
      </c>
      <c r="K316" s="234">
        <v>1</v>
      </c>
      <c r="L316" s="208" t="s">
        <v>81</v>
      </c>
      <c r="M316" s="235">
        <f>K316</f>
        <v>1</v>
      </c>
      <c r="N316" s="208" t="s">
        <v>39</v>
      </c>
      <c r="O316" s="246">
        <f>O315</f>
        <v>3</v>
      </c>
      <c r="P316" s="208" t="s">
        <v>112</v>
      </c>
      <c r="Q316" s="240">
        <f t="shared" si="60"/>
        <v>3</v>
      </c>
      <c r="R316" s="239">
        <v>1</v>
      </c>
      <c r="S316" s="240">
        <f t="shared" si="63"/>
        <v>4</v>
      </c>
      <c r="T316" s="216" t="s">
        <v>48</v>
      </c>
      <c r="U316" s="196" t="str">
        <f t="shared" si="61"/>
        <v>4 Hrs</v>
      </c>
    </row>
    <row r="317" spans="3:21" s="185" customFormat="1" ht="20.25" customHeight="1">
      <c r="C317" s="198"/>
      <c r="D317" s="203">
        <f t="shared" si="57"/>
        <v>317</v>
      </c>
      <c r="E317" s="207" t="s">
        <v>314</v>
      </c>
      <c r="F317" s="211">
        <f t="shared" si="62"/>
        <v>316</v>
      </c>
      <c r="G317" s="206" t="s">
        <v>286</v>
      </c>
      <c r="H317" s="206"/>
      <c r="I317" s="233">
        <f>I312</f>
        <v>18</v>
      </c>
      <c r="J317" s="211" t="str">
        <f>J312</f>
        <v>0 mm</v>
      </c>
      <c r="K317" s="234">
        <v>1</v>
      </c>
      <c r="L317" s="208" t="s">
        <v>81</v>
      </c>
      <c r="M317" s="235">
        <f>K317</f>
        <v>1</v>
      </c>
      <c r="N317" s="208" t="s">
        <v>39</v>
      </c>
      <c r="O317" s="246">
        <f>O316</f>
        <v>3</v>
      </c>
      <c r="P317" s="208" t="s">
        <v>112</v>
      </c>
      <c r="Q317" s="240">
        <f t="shared" si="60"/>
        <v>3</v>
      </c>
      <c r="R317" s="239">
        <v>1</v>
      </c>
      <c r="S317" s="240">
        <f t="shared" si="63"/>
        <v>4</v>
      </c>
      <c r="T317" s="216" t="s">
        <v>48</v>
      </c>
      <c r="U317" s="196" t="str">
        <f t="shared" si="61"/>
        <v>4 Hrs</v>
      </c>
    </row>
    <row r="318" spans="3:21" s="185" customFormat="1" ht="20.25" customHeight="1">
      <c r="C318" s="198">
        <f>D318</f>
        <v>318</v>
      </c>
      <c r="D318" s="203">
        <f t="shared" si="57"/>
        <v>318</v>
      </c>
      <c r="E318" s="209" t="s">
        <v>315</v>
      </c>
      <c r="F318" s="210">
        <f>D313</f>
        <v>313</v>
      </c>
      <c r="G318" s="206"/>
      <c r="H318" s="206"/>
      <c r="I318" s="208"/>
      <c r="J318" s="208"/>
      <c r="K318" s="234"/>
      <c r="L318" s="208"/>
      <c r="M318" s="217"/>
      <c r="N318" s="208"/>
      <c r="O318" s="218"/>
      <c r="P318" s="208"/>
      <c r="Q318" s="240"/>
      <c r="R318" s="239"/>
      <c r="S318" s="240"/>
      <c r="T318" s="216"/>
      <c r="U318" s="196"/>
    </row>
    <row r="319" spans="3:21" s="185" customFormat="1" ht="20.25" customHeight="1">
      <c r="C319" s="198"/>
      <c r="D319" s="203">
        <f t="shared" si="57"/>
        <v>319</v>
      </c>
      <c r="E319" s="207" t="s">
        <v>316</v>
      </c>
      <c r="F319" s="211"/>
      <c r="G319" s="206" t="s">
        <v>44</v>
      </c>
      <c r="H319" s="206"/>
      <c r="I319" s="224">
        <v>18</v>
      </c>
      <c r="J319" s="225" t="s">
        <v>317</v>
      </c>
      <c r="K319" s="234">
        <v>1</v>
      </c>
      <c r="L319" s="208" t="s">
        <v>81</v>
      </c>
      <c r="M319" s="227">
        <f>LEFT(J319,SEARCH(" ",J319,1)-1)*3.142*K319*0.001</f>
        <v>4.9015199999999997</v>
      </c>
      <c r="N319" s="208" t="s">
        <v>139</v>
      </c>
      <c r="O319" s="246">
        <f>VLOOKUP(I319,BM!$A$2:$X$104,10,FALSE)</f>
        <v>1</v>
      </c>
      <c r="P319" s="208" t="s">
        <v>112</v>
      </c>
      <c r="Q319" s="240">
        <f t="shared" si="60"/>
        <v>4.9015199999999997</v>
      </c>
      <c r="R319" s="239">
        <v>1</v>
      </c>
      <c r="S319" s="240">
        <f t="shared" si="63"/>
        <v>5.9</v>
      </c>
      <c r="T319" s="216" t="s">
        <v>48</v>
      </c>
      <c r="U319" s="196" t="str">
        <f t="shared" si="61"/>
        <v>5.9 Hrs</v>
      </c>
    </row>
    <row r="320" spans="3:21" s="185" customFormat="1" ht="20.25" customHeight="1">
      <c r="C320" s="198"/>
      <c r="D320" s="203">
        <f t="shared" si="57"/>
        <v>320</v>
      </c>
      <c r="E320" s="207" t="s">
        <v>316</v>
      </c>
      <c r="F320" s="211">
        <f t="shared" si="62"/>
        <v>319</v>
      </c>
      <c r="G320" s="206" t="s">
        <v>44</v>
      </c>
      <c r="H320" s="206"/>
      <c r="I320" s="224">
        <v>18</v>
      </c>
      <c r="J320" s="211" t="str">
        <f>J319</f>
        <v>1560 mm id</v>
      </c>
      <c r="K320" s="234">
        <v>1</v>
      </c>
      <c r="L320" s="208" t="s">
        <v>81</v>
      </c>
      <c r="M320" s="227">
        <f t="shared" ref="M320:M322" si="67">LEFT(J320,SEARCH(" ",J320,1)-1)*3.142*K320*0.001</f>
        <v>4.9015199999999997</v>
      </c>
      <c r="N320" s="208" t="s">
        <v>139</v>
      </c>
      <c r="O320" s="246">
        <f>VLOOKUP(I320,BM!$A$2:$X$104,10,FALSE)</f>
        <v>1</v>
      </c>
      <c r="P320" s="208" t="s">
        <v>112</v>
      </c>
      <c r="Q320" s="240">
        <f t="shared" si="60"/>
        <v>4.9015199999999997</v>
      </c>
      <c r="R320" s="239">
        <v>1</v>
      </c>
      <c r="S320" s="240">
        <f t="shared" si="63"/>
        <v>5.9</v>
      </c>
      <c r="T320" s="216" t="s">
        <v>48</v>
      </c>
      <c r="U320" s="196" t="str">
        <f t="shared" si="61"/>
        <v>5.9 Hrs</v>
      </c>
    </row>
    <row r="321" spans="3:21" s="185" customFormat="1" ht="20.25" customHeight="1">
      <c r="C321" s="198"/>
      <c r="D321" s="203">
        <f t="shared" si="57"/>
        <v>321</v>
      </c>
      <c r="E321" s="207" t="s">
        <v>316</v>
      </c>
      <c r="F321" s="211">
        <f t="shared" si="62"/>
        <v>320</v>
      </c>
      <c r="G321" s="206" t="s">
        <v>44</v>
      </c>
      <c r="H321" s="206"/>
      <c r="I321" s="224">
        <v>18</v>
      </c>
      <c r="J321" s="211" t="str">
        <f>J320</f>
        <v>1560 mm id</v>
      </c>
      <c r="K321" s="234">
        <v>1</v>
      </c>
      <c r="L321" s="208" t="s">
        <v>81</v>
      </c>
      <c r="M321" s="227">
        <f t="shared" si="67"/>
        <v>4.9015199999999997</v>
      </c>
      <c r="N321" s="208" t="s">
        <v>139</v>
      </c>
      <c r="O321" s="246">
        <f>VLOOKUP(I321,BM!$A$2:$X$104,10,FALSE)</f>
        <v>1</v>
      </c>
      <c r="P321" s="208" t="s">
        <v>112</v>
      </c>
      <c r="Q321" s="240">
        <f t="shared" si="60"/>
        <v>4.9015199999999997</v>
      </c>
      <c r="R321" s="239">
        <v>1</v>
      </c>
      <c r="S321" s="240">
        <f t="shared" si="63"/>
        <v>5.9</v>
      </c>
      <c r="T321" s="216" t="s">
        <v>48</v>
      </c>
      <c r="U321" s="196" t="str">
        <f t="shared" si="61"/>
        <v>5.9 Hrs</v>
      </c>
    </row>
    <row r="322" spans="3:21" s="185" customFormat="1" ht="20.25" customHeight="1">
      <c r="C322" s="198"/>
      <c r="D322" s="203">
        <f t="shared" si="57"/>
        <v>322</v>
      </c>
      <c r="E322" s="207" t="s">
        <v>316</v>
      </c>
      <c r="F322" s="211">
        <f t="shared" si="62"/>
        <v>321</v>
      </c>
      <c r="G322" s="206" t="s">
        <v>44</v>
      </c>
      <c r="H322" s="206"/>
      <c r="I322" s="224">
        <v>18</v>
      </c>
      <c r="J322" s="211" t="s">
        <v>318</v>
      </c>
      <c r="K322" s="234">
        <v>1</v>
      </c>
      <c r="L322" s="208" t="s">
        <v>81</v>
      </c>
      <c r="M322" s="227">
        <f t="shared" si="67"/>
        <v>0</v>
      </c>
      <c r="N322" s="208" t="s">
        <v>139</v>
      </c>
      <c r="O322" s="246">
        <f>VLOOKUP(I322,BM!$A$2:$X$104,10,FALSE)</f>
        <v>1</v>
      </c>
      <c r="P322" s="208" t="s">
        <v>112</v>
      </c>
      <c r="Q322" s="240">
        <f t="shared" si="60"/>
        <v>0</v>
      </c>
      <c r="R322" s="239">
        <v>1</v>
      </c>
      <c r="S322" s="240">
        <f t="shared" si="63"/>
        <v>1</v>
      </c>
      <c r="T322" s="216" t="s">
        <v>48</v>
      </c>
      <c r="U322" s="196" t="str">
        <f t="shared" si="61"/>
        <v>1 Hrs</v>
      </c>
    </row>
    <row r="323" spans="3:21" s="185" customFormat="1" ht="20.25" customHeight="1">
      <c r="C323" s="198">
        <f>D323</f>
        <v>323</v>
      </c>
      <c r="D323" s="203">
        <f t="shared" ref="D323:D386" si="68">D322+1</f>
        <v>323</v>
      </c>
      <c r="E323" s="209" t="s">
        <v>319</v>
      </c>
      <c r="F323" s="210">
        <f>D318</f>
        <v>318</v>
      </c>
      <c r="G323" s="206"/>
      <c r="H323" s="206"/>
      <c r="I323" s="208"/>
      <c r="J323" s="208"/>
      <c r="K323" s="234"/>
      <c r="L323" s="208"/>
      <c r="M323" s="217"/>
      <c r="N323" s="208"/>
      <c r="O323" s="218"/>
      <c r="P323" s="208"/>
      <c r="Q323" s="240"/>
      <c r="R323" s="239"/>
      <c r="S323" s="240"/>
      <c r="T323" s="216"/>
      <c r="U323" s="196"/>
    </row>
    <row r="324" spans="3:21" s="185" customFormat="1" ht="20.25" customHeight="1">
      <c r="C324" s="198"/>
      <c r="D324" s="203">
        <f t="shared" si="68"/>
        <v>324</v>
      </c>
      <c r="E324" s="207" t="s">
        <v>320</v>
      </c>
      <c r="F324" s="211"/>
      <c r="G324" s="206" t="s">
        <v>299</v>
      </c>
      <c r="H324" s="206"/>
      <c r="I324" s="224">
        <v>18</v>
      </c>
      <c r="J324" s="211" t="str">
        <f>J321</f>
        <v>1560 mm id</v>
      </c>
      <c r="K324" s="234">
        <v>1</v>
      </c>
      <c r="L324" s="208" t="s">
        <v>81</v>
      </c>
      <c r="M324" s="227">
        <f t="shared" ref="M324:M325" si="69">LEFT(J324,SEARCH(" ",J324,1)-1)*3.142*K324*0.001</f>
        <v>4.9015199999999997</v>
      </c>
      <c r="N324" s="208" t="s">
        <v>139</v>
      </c>
      <c r="O324" s="246">
        <f>VLOOKUP(I324,BM!$A$2:$X$104,10,FALSE)</f>
        <v>1</v>
      </c>
      <c r="P324" s="208" t="s">
        <v>112</v>
      </c>
      <c r="Q324" s="240">
        <f t="shared" si="60"/>
        <v>4.9015199999999997</v>
      </c>
      <c r="R324" s="239">
        <v>1</v>
      </c>
      <c r="S324" s="240">
        <f t="shared" si="63"/>
        <v>5.9</v>
      </c>
      <c r="T324" s="216" t="s">
        <v>48</v>
      </c>
      <c r="U324" s="196" t="str">
        <f t="shared" si="61"/>
        <v>5.9 Hrs</v>
      </c>
    </row>
    <row r="325" spans="3:21" s="185" customFormat="1" ht="20.25" customHeight="1">
      <c r="C325" s="198"/>
      <c r="D325" s="203">
        <f t="shared" si="68"/>
        <v>325</v>
      </c>
      <c r="E325" s="207" t="s">
        <v>321</v>
      </c>
      <c r="F325" s="211">
        <f t="shared" si="62"/>
        <v>324</v>
      </c>
      <c r="G325" s="206" t="s">
        <v>44</v>
      </c>
      <c r="H325" s="206"/>
      <c r="I325" s="224">
        <v>18</v>
      </c>
      <c r="J325" s="211" t="str">
        <f t="shared" ref="J325" si="70">J324</f>
        <v>1560 mm id</v>
      </c>
      <c r="K325" s="234">
        <v>1</v>
      </c>
      <c r="L325" s="208" t="s">
        <v>81</v>
      </c>
      <c r="M325" s="227">
        <f t="shared" si="69"/>
        <v>4.9015199999999997</v>
      </c>
      <c r="N325" s="208" t="s">
        <v>139</v>
      </c>
      <c r="O325" s="218">
        <v>1</v>
      </c>
      <c r="P325" s="208" t="s">
        <v>112</v>
      </c>
      <c r="Q325" s="240">
        <f t="shared" si="60"/>
        <v>4.9015199999999997</v>
      </c>
      <c r="R325" s="239">
        <v>1</v>
      </c>
      <c r="S325" s="240">
        <f t="shared" si="63"/>
        <v>5.9</v>
      </c>
      <c r="T325" s="216" t="s">
        <v>48</v>
      </c>
      <c r="U325" s="196" t="str">
        <f t="shared" si="61"/>
        <v>5.9 Hrs</v>
      </c>
    </row>
    <row r="326" spans="3:21" s="185" customFormat="1" ht="20.25" customHeight="1">
      <c r="C326" s="198">
        <f>D326</f>
        <v>326</v>
      </c>
      <c r="D326" s="203">
        <f t="shared" si="68"/>
        <v>326</v>
      </c>
      <c r="E326" s="209" t="s">
        <v>322</v>
      </c>
      <c r="F326" s="210">
        <f>D323</f>
        <v>323</v>
      </c>
      <c r="G326" s="206"/>
      <c r="H326" s="206"/>
      <c r="I326" s="208"/>
      <c r="J326" s="208"/>
      <c r="K326" s="234"/>
      <c r="L326" s="208"/>
      <c r="M326" s="217"/>
      <c r="N326" s="208"/>
      <c r="O326" s="218"/>
      <c r="P326" s="208"/>
      <c r="Q326" s="240"/>
      <c r="R326" s="239"/>
      <c r="S326" s="240"/>
      <c r="T326" s="216"/>
      <c r="U326" s="196"/>
    </row>
    <row r="327" spans="3:21" s="185" customFormat="1" ht="20.25" customHeight="1">
      <c r="C327" s="198"/>
      <c r="D327" s="203">
        <f t="shared" si="68"/>
        <v>327</v>
      </c>
      <c r="E327" s="207" t="s">
        <v>323</v>
      </c>
      <c r="F327" s="211"/>
      <c r="G327" s="206" t="s">
        <v>44</v>
      </c>
      <c r="H327" s="206"/>
      <c r="I327" s="224">
        <v>18</v>
      </c>
      <c r="J327" s="208" t="str">
        <f>J325</f>
        <v>1560 mm id</v>
      </c>
      <c r="K327" s="234">
        <v>1</v>
      </c>
      <c r="L327" s="208" t="s">
        <v>81</v>
      </c>
      <c r="M327" s="217">
        <v>1</v>
      </c>
      <c r="N327" s="208" t="s">
        <v>81</v>
      </c>
      <c r="O327" s="218">
        <v>1</v>
      </c>
      <c r="P327" s="208" t="s">
        <v>112</v>
      </c>
      <c r="Q327" s="240">
        <f t="shared" si="60"/>
        <v>1</v>
      </c>
      <c r="R327" s="239">
        <v>1</v>
      </c>
      <c r="S327" s="240">
        <f t="shared" si="63"/>
        <v>2</v>
      </c>
      <c r="T327" s="216" t="s">
        <v>48</v>
      </c>
      <c r="U327" s="196" t="str">
        <f t="shared" si="61"/>
        <v>2 Hrs</v>
      </c>
    </row>
    <row r="328" spans="3:21" s="185" customFormat="1" ht="20.25" customHeight="1">
      <c r="C328" s="198"/>
      <c r="D328" s="203">
        <f t="shared" si="68"/>
        <v>328</v>
      </c>
      <c r="E328" s="207" t="s">
        <v>324</v>
      </c>
      <c r="F328" s="211">
        <f t="shared" si="62"/>
        <v>327</v>
      </c>
      <c r="G328" s="206" t="s">
        <v>115</v>
      </c>
      <c r="H328" s="206"/>
      <c r="I328" s="233">
        <f>12</f>
        <v>12</v>
      </c>
      <c r="J328" s="208" t="str">
        <f>J327</f>
        <v>1560 mm id</v>
      </c>
      <c r="K328" s="234">
        <v>1</v>
      </c>
      <c r="L328" s="208" t="s">
        <v>81</v>
      </c>
      <c r="M328" s="227">
        <f t="shared" ref="M328:M331" si="71">LEFT(J328,SEARCH(" ",J328,1)-1)*3.142*K328*0.001</f>
        <v>4.9015199999999997</v>
      </c>
      <c r="N328" s="208" t="s">
        <v>139</v>
      </c>
      <c r="O328" s="246">
        <f>VLOOKUP(I328,BM!$A$2:$X$104,17,FALSE)</f>
        <v>2.5</v>
      </c>
      <c r="P328" s="208" t="s">
        <v>112</v>
      </c>
      <c r="Q328" s="240">
        <f t="shared" si="60"/>
        <v>12.253799999999998</v>
      </c>
      <c r="R328" s="239">
        <v>1</v>
      </c>
      <c r="S328" s="240">
        <f t="shared" si="63"/>
        <v>13.25</v>
      </c>
      <c r="T328" s="216" t="s">
        <v>48</v>
      </c>
      <c r="U328" s="196" t="str">
        <f t="shared" si="61"/>
        <v>13.25 Hrs</v>
      </c>
    </row>
    <row r="329" spans="3:21" s="185" customFormat="1" ht="20.25" customHeight="1">
      <c r="C329" s="198"/>
      <c r="D329" s="203">
        <f t="shared" si="68"/>
        <v>329</v>
      </c>
      <c r="E329" s="207" t="s">
        <v>325</v>
      </c>
      <c r="F329" s="211">
        <f t="shared" si="62"/>
        <v>328</v>
      </c>
      <c r="G329" s="206" t="s">
        <v>61</v>
      </c>
      <c r="H329" s="206"/>
      <c r="I329" s="233">
        <f>18</f>
        <v>18</v>
      </c>
      <c r="J329" s="208" t="str">
        <f>J328</f>
        <v>1560 mm id</v>
      </c>
      <c r="K329" s="234">
        <v>1</v>
      </c>
      <c r="L329" s="208" t="s">
        <v>81</v>
      </c>
      <c r="M329" s="227">
        <f t="shared" si="71"/>
        <v>4.9015199999999997</v>
      </c>
      <c r="N329" s="208" t="s">
        <v>139</v>
      </c>
      <c r="O329" s="246">
        <f>VLOOKUP(I329,BM!$A$2:$X$104,18,FALSE)</f>
        <v>1</v>
      </c>
      <c r="P329" s="208" t="s">
        <v>112</v>
      </c>
      <c r="Q329" s="240">
        <f t="shared" si="60"/>
        <v>4.9015199999999997</v>
      </c>
      <c r="R329" s="239">
        <v>1</v>
      </c>
      <c r="S329" s="240">
        <f t="shared" si="63"/>
        <v>5.9</v>
      </c>
      <c r="T329" s="216" t="s">
        <v>48</v>
      </c>
      <c r="U329" s="196" t="str">
        <f t="shared" si="61"/>
        <v>5.9 Hrs</v>
      </c>
    </row>
    <row r="330" spans="3:21" s="185" customFormat="1" ht="20.25" customHeight="1">
      <c r="C330" s="198"/>
      <c r="D330" s="203">
        <f t="shared" si="68"/>
        <v>330</v>
      </c>
      <c r="E330" s="207" t="s">
        <v>326</v>
      </c>
      <c r="F330" s="211">
        <f t="shared" si="62"/>
        <v>329</v>
      </c>
      <c r="G330" s="206" t="s">
        <v>115</v>
      </c>
      <c r="H330" s="206"/>
      <c r="I330" s="224">
        <v>6</v>
      </c>
      <c r="J330" s="208" t="str">
        <f>J329</f>
        <v>1560 mm id</v>
      </c>
      <c r="K330" s="234">
        <v>1</v>
      </c>
      <c r="L330" s="208" t="s">
        <v>81</v>
      </c>
      <c r="M330" s="227">
        <f t="shared" si="71"/>
        <v>4.9015199999999997</v>
      </c>
      <c r="N330" s="208" t="s">
        <v>139</v>
      </c>
      <c r="O330" s="246">
        <f>VLOOKUP(I330,BM!$A$2:$X$104,17,FALSE)</f>
        <v>0.9</v>
      </c>
      <c r="P330" s="208" t="s">
        <v>112</v>
      </c>
      <c r="Q330" s="240">
        <f t="shared" si="60"/>
        <v>4.4113679999999995</v>
      </c>
      <c r="R330" s="239">
        <v>1</v>
      </c>
      <c r="S330" s="240">
        <f t="shared" si="63"/>
        <v>5.41</v>
      </c>
      <c r="T330" s="216" t="s">
        <v>48</v>
      </c>
      <c r="U330" s="196" t="str">
        <f t="shared" si="61"/>
        <v>5.41 Hrs</v>
      </c>
    </row>
    <row r="331" spans="3:21" s="185" customFormat="1" ht="20.25" customHeight="1">
      <c r="C331" s="198"/>
      <c r="D331" s="203">
        <f t="shared" si="68"/>
        <v>331</v>
      </c>
      <c r="E331" s="207" t="s">
        <v>327</v>
      </c>
      <c r="F331" s="211">
        <f t="shared" si="62"/>
        <v>330</v>
      </c>
      <c r="G331" s="206" t="s">
        <v>61</v>
      </c>
      <c r="H331" s="206"/>
      <c r="I331" s="224">
        <v>18</v>
      </c>
      <c r="J331" s="208" t="str">
        <f>J330</f>
        <v>1560 mm id</v>
      </c>
      <c r="K331" s="234">
        <v>1</v>
      </c>
      <c r="L331" s="208" t="s">
        <v>81</v>
      </c>
      <c r="M331" s="227">
        <f t="shared" si="71"/>
        <v>4.9015199999999997</v>
      </c>
      <c r="N331" s="208" t="s">
        <v>139</v>
      </c>
      <c r="O331" s="246">
        <f>VLOOKUP(I331,BM!$A$2:$X$104,20,FALSE)</f>
        <v>0.5</v>
      </c>
      <c r="P331" s="208" t="s">
        <v>112</v>
      </c>
      <c r="Q331" s="240">
        <f t="shared" si="60"/>
        <v>2.4507599999999998</v>
      </c>
      <c r="R331" s="239">
        <v>1</v>
      </c>
      <c r="S331" s="240">
        <f t="shared" si="63"/>
        <v>3.45</v>
      </c>
      <c r="T331" s="216" t="s">
        <v>48</v>
      </c>
      <c r="U331" s="196" t="str">
        <f t="shared" si="61"/>
        <v>3.45 Hrs</v>
      </c>
    </row>
    <row r="332" spans="3:21" s="185" customFormat="1" ht="20.25" customHeight="1">
      <c r="C332" s="198">
        <f>D332</f>
        <v>332</v>
      </c>
      <c r="D332" s="203">
        <f t="shared" si="68"/>
        <v>332</v>
      </c>
      <c r="E332" s="209" t="s">
        <v>328</v>
      </c>
      <c r="F332" s="210">
        <f>D326</f>
        <v>326</v>
      </c>
      <c r="G332" s="206"/>
      <c r="H332" s="206"/>
      <c r="I332" s="208"/>
      <c r="J332" s="208"/>
      <c r="K332" s="234"/>
      <c r="L332" s="208"/>
      <c r="M332" s="217"/>
      <c r="N332" s="208"/>
      <c r="O332" s="218"/>
      <c r="P332" s="208"/>
      <c r="Q332" s="240"/>
      <c r="R332" s="239"/>
      <c r="S332" s="240"/>
      <c r="T332" s="216"/>
      <c r="U332" s="196"/>
    </row>
    <row r="333" spans="3:21" s="185" customFormat="1" ht="20.25" customHeight="1">
      <c r="C333" s="198"/>
      <c r="D333" s="203">
        <f t="shared" si="68"/>
        <v>333</v>
      </c>
      <c r="E333" s="207" t="s">
        <v>329</v>
      </c>
      <c r="F333" s="211"/>
      <c r="G333" s="206" t="s">
        <v>299</v>
      </c>
      <c r="H333" s="206"/>
      <c r="I333" s="224">
        <v>18</v>
      </c>
      <c r="J333" s="208" t="str">
        <f>J331</f>
        <v>1560 mm id</v>
      </c>
      <c r="K333" s="234">
        <v>1</v>
      </c>
      <c r="L333" s="208" t="s">
        <v>81</v>
      </c>
      <c r="M333" s="227">
        <f t="shared" ref="M333:M334" si="72">LEFT(J333,SEARCH(" ",J333,1)-1)*3.142*K333*0.001</f>
        <v>4.9015199999999997</v>
      </c>
      <c r="N333" s="208" t="s">
        <v>139</v>
      </c>
      <c r="O333" s="246">
        <f>VLOOKUP(I333,BM!$A$2:$X$104,10,FALSE)</f>
        <v>1</v>
      </c>
      <c r="P333" s="208" t="s">
        <v>112</v>
      </c>
      <c r="Q333" s="240">
        <f t="shared" si="60"/>
        <v>4.9015199999999997</v>
      </c>
      <c r="R333" s="239">
        <v>1</v>
      </c>
      <c r="S333" s="240">
        <f t="shared" si="63"/>
        <v>5.9</v>
      </c>
      <c r="T333" s="216" t="s">
        <v>48</v>
      </c>
      <c r="U333" s="196" t="str">
        <f t="shared" si="61"/>
        <v>5.9 Hrs</v>
      </c>
    </row>
    <row r="334" spans="3:21" s="185" customFormat="1" ht="20.25" customHeight="1">
      <c r="C334" s="198"/>
      <c r="D334" s="203">
        <f t="shared" si="68"/>
        <v>334</v>
      </c>
      <c r="E334" s="207" t="s">
        <v>330</v>
      </c>
      <c r="F334" s="211">
        <f t="shared" si="62"/>
        <v>333</v>
      </c>
      <c r="G334" s="206" t="s">
        <v>44</v>
      </c>
      <c r="H334" s="206"/>
      <c r="I334" s="224">
        <v>18</v>
      </c>
      <c r="J334" s="208" t="str">
        <f>J331</f>
        <v>1560 mm id</v>
      </c>
      <c r="K334" s="234">
        <v>1</v>
      </c>
      <c r="L334" s="208" t="s">
        <v>81</v>
      </c>
      <c r="M334" s="227">
        <f t="shared" si="72"/>
        <v>4.9015199999999997</v>
      </c>
      <c r="N334" s="208" t="s">
        <v>139</v>
      </c>
      <c r="O334" s="218">
        <v>1</v>
      </c>
      <c r="P334" s="208" t="s">
        <v>112</v>
      </c>
      <c r="Q334" s="240">
        <f t="shared" si="60"/>
        <v>4.9015199999999997</v>
      </c>
      <c r="R334" s="239">
        <v>1</v>
      </c>
      <c r="S334" s="240">
        <f t="shared" si="63"/>
        <v>5.9</v>
      </c>
      <c r="T334" s="216" t="s">
        <v>48</v>
      </c>
      <c r="U334" s="196" t="str">
        <f t="shared" si="61"/>
        <v>5.9 Hrs</v>
      </c>
    </row>
    <row r="335" spans="3:21" s="185" customFormat="1" ht="20.25" customHeight="1">
      <c r="C335" s="198">
        <f>D335</f>
        <v>335</v>
      </c>
      <c r="D335" s="203">
        <f t="shared" si="68"/>
        <v>335</v>
      </c>
      <c r="E335" s="209" t="s">
        <v>331</v>
      </c>
      <c r="F335" s="210">
        <f>D332</f>
        <v>332</v>
      </c>
      <c r="G335" s="206"/>
      <c r="H335" s="206"/>
      <c r="I335" s="208"/>
      <c r="J335" s="208"/>
      <c r="K335" s="234"/>
      <c r="L335" s="208"/>
      <c r="M335" s="217"/>
      <c r="N335" s="208"/>
      <c r="O335" s="218"/>
      <c r="P335" s="208"/>
      <c r="Q335" s="240">
        <f t="shared" si="60"/>
        <v>0</v>
      </c>
      <c r="R335" s="239"/>
      <c r="S335" s="240"/>
      <c r="T335" s="216"/>
      <c r="U335" s="196"/>
    </row>
    <row r="336" spans="3:21" s="185" customFormat="1" ht="20.25" customHeight="1">
      <c r="C336" s="198"/>
      <c r="D336" s="203">
        <f t="shared" si="68"/>
        <v>336</v>
      </c>
      <c r="E336" s="207" t="s">
        <v>332</v>
      </c>
      <c r="F336" s="211"/>
      <c r="G336" s="206" t="s">
        <v>44</v>
      </c>
      <c r="H336" s="206"/>
      <c r="I336" s="224">
        <v>18</v>
      </c>
      <c r="J336" s="208" t="str">
        <f>J331</f>
        <v>1560 mm id</v>
      </c>
      <c r="K336" s="234">
        <v>1</v>
      </c>
      <c r="L336" s="208" t="s">
        <v>81</v>
      </c>
      <c r="M336" s="217">
        <v>1</v>
      </c>
      <c r="N336" s="208" t="s">
        <v>139</v>
      </c>
      <c r="O336" s="218">
        <v>1</v>
      </c>
      <c r="P336" s="208" t="s">
        <v>112</v>
      </c>
      <c r="Q336" s="240">
        <f t="shared" si="60"/>
        <v>1</v>
      </c>
      <c r="R336" s="239">
        <v>1</v>
      </c>
      <c r="S336" s="240">
        <f t="shared" si="63"/>
        <v>2</v>
      </c>
      <c r="T336" s="216" t="s">
        <v>48</v>
      </c>
      <c r="U336" s="196" t="str">
        <f t="shared" si="61"/>
        <v>2 Hrs</v>
      </c>
    </row>
    <row r="337" spans="3:21" s="185" customFormat="1" ht="20.25" customHeight="1">
      <c r="C337" s="198"/>
      <c r="D337" s="203">
        <f t="shared" si="68"/>
        <v>337</v>
      </c>
      <c r="E337" s="207" t="s">
        <v>333</v>
      </c>
      <c r="F337" s="211">
        <f t="shared" si="62"/>
        <v>336</v>
      </c>
      <c r="G337" s="206" t="s">
        <v>115</v>
      </c>
      <c r="H337" s="206"/>
      <c r="I337" s="233">
        <f>12</f>
        <v>12</v>
      </c>
      <c r="J337" s="208" t="str">
        <f>J334</f>
        <v>1560 mm id</v>
      </c>
      <c r="K337" s="234">
        <v>1</v>
      </c>
      <c r="L337" s="208" t="s">
        <v>81</v>
      </c>
      <c r="M337" s="227">
        <f t="shared" ref="M337:M340" si="73">LEFT(J337,SEARCH(" ",J337,1)-1)*3.142*K337*0.001</f>
        <v>4.9015199999999997</v>
      </c>
      <c r="N337" s="208" t="s">
        <v>139</v>
      </c>
      <c r="O337" s="246">
        <f>VLOOKUP(I337,BM!$A$2:$X$104,17,FALSE)</f>
        <v>2.5</v>
      </c>
      <c r="P337" s="208" t="s">
        <v>112</v>
      </c>
      <c r="Q337" s="240">
        <f t="shared" si="60"/>
        <v>12.253799999999998</v>
      </c>
      <c r="R337" s="239">
        <v>1</v>
      </c>
      <c r="S337" s="240">
        <f t="shared" si="63"/>
        <v>13.25</v>
      </c>
      <c r="T337" s="216" t="s">
        <v>48</v>
      </c>
      <c r="U337" s="196" t="str">
        <f t="shared" si="61"/>
        <v>13.25 Hrs</v>
      </c>
    </row>
    <row r="338" spans="3:21" s="185" customFormat="1" ht="20.25" customHeight="1">
      <c r="C338" s="198"/>
      <c r="D338" s="203">
        <f t="shared" si="68"/>
        <v>338</v>
      </c>
      <c r="E338" s="207" t="s">
        <v>334</v>
      </c>
      <c r="F338" s="211">
        <f t="shared" si="62"/>
        <v>337</v>
      </c>
      <c r="G338" s="206" t="s">
        <v>61</v>
      </c>
      <c r="H338" s="206"/>
      <c r="I338" s="233">
        <f>18</f>
        <v>18</v>
      </c>
      <c r="J338" s="208" t="str">
        <f>J337</f>
        <v>1560 mm id</v>
      </c>
      <c r="K338" s="234">
        <v>1</v>
      </c>
      <c r="L338" s="208" t="s">
        <v>81</v>
      </c>
      <c r="M338" s="227">
        <f t="shared" si="73"/>
        <v>4.9015199999999997</v>
      </c>
      <c r="N338" s="208" t="s">
        <v>139</v>
      </c>
      <c r="O338" s="246">
        <f>VLOOKUP(I338,BM!$A$2:$X$104,18,FALSE)</f>
        <v>1</v>
      </c>
      <c r="P338" s="208" t="s">
        <v>112</v>
      </c>
      <c r="Q338" s="240">
        <f t="shared" si="60"/>
        <v>4.9015199999999997</v>
      </c>
      <c r="R338" s="239">
        <v>1</v>
      </c>
      <c r="S338" s="240">
        <f t="shared" si="63"/>
        <v>5.9</v>
      </c>
      <c r="T338" s="216" t="s">
        <v>48</v>
      </c>
      <c r="U338" s="196" t="str">
        <f t="shared" si="61"/>
        <v>5.9 Hrs</v>
      </c>
    </row>
    <row r="339" spans="3:21" s="185" customFormat="1" ht="20.25" customHeight="1">
      <c r="C339" s="198"/>
      <c r="D339" s="203">
        <f t="shared" si="68"/>
        <v>339</v>
      </c>
      <c r="E339" s="207" t="s">
        <v>335</v>
      </c>
      <c r="F339" s="211">
        <f t="shared" si="62"/>
        <v>338</v>
      </c>
      <c r="G339" s="206" t="s">
        <v>115</v>
      </c>
      <c r="H339" s="206"/>
      <c r="I339" s="224">
        <v>6</v>
      </c>
      <c r="J339" s="208" t="str">
        <f>J338</f>
        <v>1560 mm id</v>
      </c>
      <c r="K339" s="234">
        <v>1</v>
      </c>
      <c r="L339" s="208" t="s">
        <v>81</v>
      </c>
      <c r="M339" s="227">
        <f t="shared" si="73"/>
        <v>4.9015199999999997</v>
      </c>
      <c r="N339" s="208" t="s">
        <v>139</v>
      </c>
      <c r="O339" s="246">
        <f>VLOOKUP(I339,BM!$A$2:$X$104,17,FALSE)</f>
        <v>0.9</v>
      </c>
      <c r="P339" s="208" t="s">
        <v>112</v>
      </c>
      <c r="Q339" s="240">
        <f t="shared" si="60"/>
        <v>4.4113679999999995</v>
      </c>
      <c r="R339" s="239">
        <v>1</v>
      </c>
      <c r="S339" s="240">
        <f t="shared" si="63"/>
        <v>5.41</v>
      </c>
      <c r="T339" s="216" t="s">
        <v>48</v>
      </c>
      <c r="U339" s="196" t="str">
        <f t="shared" si="61"/>
        <v>5.41 Hrs</v>
      </c>
    </row>
    <row r="340" spans="3:21" s="185" customFormat="1" ht="20.25" customHeight="1">
      <c r="C340" s="198"/>
      <c r="D340" s="203">
        <f t="shared" si="68"/>
        <v>340</v>
      </c>
      <c r="E340" s="207" t="s">
        <v>336</v>
      </c>
      <c r="F340" s="211">
        <f t="shared" si="62"/>
        <v>339</v>
      </c>
      <c r="G340" s="206" t="s">
        <v>61</v>
      </c>
      <c r="H340" s="206"/>
      <c r="I340" s="224">
        <v>18</v>
      </c>
      <c r="J340" s="208" t="str">
        <f>J339</f>
        <v>1560 mm id</v>
      </c>
      <c r="K340" s="234">
        <v>1</v>
      </c>
      <c r="L340" s="208" t="s">
        <v>81</v>
      </c>
      <c r="M340" s="227">
        <f t="shared" si="73"/>
        <v>4.9015199999999997</v>
      </c>
      <c r="N340" s="208" t="s">
        <v>139</v>
      </c>
      <c r="O340" s="246">
        <f>VLOOKUP(I340,BM!$A$2:$X$104,20,FALSE)</f>
        <v>0.5</v>
      </c>
      <c r="P340" s="208" t="s">
        <v>112</v>
      </c>
      <c r="Q340" s="240">
        <f t="shared" si="60"/>
        <v>2.4507599999999998</v>
      </c>
      <c r="R340" s="239">
        <v>1</v>
      </c>
      <c r="S340" s="240">
        <f t="shared" si="63"/>
        <v>3.45</v>
      </c>
      <c r="T340" s="216" t="s">
        <v>48</v>
      </c>
      <c r="U340" s="196" t="str">
        <f t="shared" si="61"/>
        <v>3.45 Hrs</v>
      </c>
    </row>
    <row r="341" spans="3:21" s="185" customFormat="1" ht="20.25" customHeight="1">
      <c r="C341" s="198">
        <f>D341</f>
        <v>341</v>
      </c>
      <c r="D341" s="203">
        <f t="shared" si="68"/>
        <v>341</v>
      </c>
      <c r="E341" s="209" t="s">
        <v>337</v>
      </c>
      <c r="F341" s="210">
        <f>D335</f>
        <v>335</v>
      </c>
      <c r="G341" s="206"/>
      <c r="H341" s="206"/>
      <c r="I341" s="208"/>
      <c r="J341" s="208"/>
      <c r="K341" s="234"/>
      <c r="L341" s="208"/>
      <c r="M341" s="217"/>
      <c r="N341" s="208"/>
      <c r="O341" s="218"/>
      <c r="P341" s="208"/>
      <c r="Q341" s="240"/>
      <c r="R341" s="239"/>
      <c r="S341" s="240"/>
      <c r="T341" s="216"/>
      <c r="U341" s="196"/>
    </row>
    <row r="342" spans="3:21" s="185" customFormat="1" ht="20.25" customHeight="1">
      <c r="C342" s="198"/>
      <c r="D342" s="203">
        <f t="shared" si="68"/>
        <v>342</v>
      </c>
      <c r="E342" s="207" t="s">
        <v>338</v>
      </c>
      <c r="F342" s="211"/>
      <c r="G342" s="206" t="s">
        <v>299</v>
      </c>
      <c r="H342" s="206"/>
      <c r="I342" s="224">
        <v>18</v>
      </c>
      <c r="J342" s="208" t="str">
        <f>J340</f>
        <v>1560 mm id</v>
      </c>
      <c r="K342" s="234">
        <v>1</v>
      </c>
      <c r="L342" s="208" t="s">
        <v>81</v>
      </c>
      <c r="M342" s="227">
        <f t="shared" ref="M342:M343" si="74">LEFT(J342,SEARCH(" ",J342,1)-1)*3.142*K342*0.001</f>
        <v>4.9015199999999997</v>
      </c>
      <c r="N342" s="208" t="s">
        <v>139</v>
      </c>
      <c r="O342" s="246">
        <f>VLOOKUP(I342,BM!$A$2:$X$104,10,FALSE)</f>
        <v>1</v>
      </c>
      <c r="P342" s="208" t="s">
        <v>112</v>
      </c>
      <c r="Q342" s="240">
        <f t="shared" si="60"/>
        <v>4.9015199999999997</v>
      </c>
      <c r="R342" s="239">
        <v>1</v>
      </c>
      <c r="S342" s="240">
        <f t="shared" si="63"/>
        <v>5.9</v>
      </c>
      <c r="T342" s="216" t="s">
        <v>48</v>
      </c>
      <c r="U342" s="196" t="str">
        <f t="shared" si="61"/>
        <v>5.9 Hrs</v>
      </c>
    </row>
    <row r="343" spans="3:21" s="185" customFormat="1" ht="20.25" customHeight="1">
      <c r="C343" s="198"/>
      <c r="D343" s="203">
        <f t="shared" si="68"/>
        <v>343</v>
      </c>
      <c r="E343" s="207" t="s">
        <v>339</v>
      </c>
      <c r="F343" s="211">
        <f t="shared" si="62"/>
        <v>342</v>
      </c>
      <c r="G343" s="206" t="s">
        <v>44</v>
      </c>
      <c r="H343" s="206"/>
      <c r="I343" s="224">
        <v>18</v>
      </c>
      <c r="J343" s="208" t="str">
        <f>J340</f>
        <v>1560 mm id</v>
      </c>
      <c r="K343" s="234">
        <v>1</v>
      </c>
      <c r="L343" s="208" t="s">
        <v>81</v>
      </c>
      <c r="M343" s="227">
        <f t="shared" si="74"/>
        <v>4.9015199999999997</v>
      </c>
      <c r="N343" s="208" t="s">
        <v>139</v>
      </c>
      <c r="O343" s="218">
        <v>1</v>
      </c>
      <c r="P343" s="208" t="s">
        <v>112</v>
      </c>
      <c r="Q343" s="240">
        <f t="shared" si="60"/>
        <v>4.9015199999999997</v>
      </c>
      <c r="R343" s="239">
        <v>1</v>
      </c>
      <c r="S343" s="240">
        <f t="shared" si="63"/>
        <v>5.9</v>
      </c>
      <c r="T343" s="216" t="s">
        <v>48</v>
      </c>
      <c r="U343" s="196" t="str">
        <f t="shared" si="61"/>
        <v>5.9 Hrs</v>
      </c>
    </row>
    <row r="344" spans="3:21" s="185" customFormat="1" ht="20.25" customHeight="1">
      <c r="C344" s="198">
        <f>D344</f>
        <v>344</v>
      </c>
      <c r="D344" s="203">
        <f t="shared" si="68"/>
        <v>344</v>
      </c>
      <c r="E344" s="209" t="s">
        <v>340</v>
      </c>
      <c r="F344" s="210">
        <f>D341</f>
        <v>341</v>
      </c>
      <c r="G344" s="206"/>
      <c r="H344" s="206"/>
      <c r="I344" s="208"/>
      <c r="J344" s="208"/>
      <c r="K344" s="234"/>
      <c r="L344" s="208"/>
      <c r="M344" s="217"/>
      <c r="N344" s="208"/>
      <c r="O344" s="218"/>
      <c r="P344" s="208"/>
      <c r="Q344" s="240"/>
      <c r="R344" s="239"/>
      <c r="S344" s="240"/>
      <c r="T344" s="216"/>
      <c r="U344" s="196"/>
    </row>
    <row r="345" spans="3:21" s="185" customFormat="1" ht="20.25" customHeight="1">
      <c r="C345" s="198"/>
      <c r="D345" s="203">
        <f t="shared" si="68"/>
        <v>345</v>
      </c>
      <c r="E345" s="207" t="s">
        <v>341</v>
      </c>
      <c r="F345" s="211"/>
      <c r="G345" s="206" t="s">
        <v>44</v>
      </c>
      <c r="H345" s="206"/>
      <c r="I345" s="224">
        <v>18</v>
      </c>
      <c r="J345" s="208" t="str">
        <f>J343</f>
        <v>1560 mm id</v>
      </c>
      <c r="K345" s="234">
        <v>1</v>
      </c>
      <c r="L345" s="208" t="s">
        <v>81</v>
      </c>
      <c r="M345" s="217">
        <v>1</v>
      </c>
      <c r="N345" s="208" t="s">
        <v>139</v>
      </c>
      <c r="O345" s="218">
        <v>1</v>
      </c>
      <c r="P345" s="208" t="s">
        <v>112</v>
      </c>
      <c r="Q345" s="240">
        <f t="shared" si="60"/>
        <v>1</v>
      </c>
      <c r="R345" s="239">
        <v>1</v>
      </c>
      <c r="S345" s="240">
        <f t="shared" si="63"/>
        <v>2</v>
      </c>
      <c r="T345" s="216" t="s">
        <v>48</v>
      </c>
      <c r="U345" s="196" t="str">
        <f t="shared" si="61"/>
        <v>2 Hrs</v>
      </c>
    </row>
    <row r="346" spans="3:21" s="185" customFormat="1" ht="20.25" customHeight="1">
      <c r="C346" s="198"/>
      <c r="D346" s="203">
        <f t="shared" si="68"/>
        <v>346</v>
      </c>
      <c r="E346" s="207" t="s">
        <v>342</v>
      </c>
      <c r="F346" s="211">
        <f t="shared" si="62"/>
        <v>345</v>
      </c>
      <c r="G346" s="206" t="s">
        <v>115</v>
      </c>
      <c r="H346" s="206"/>
      <c r="I346" s="233">
        <f>12</f>
        <v>12</v>
      </c>
      <c r="J346" s="208" t="str">
        <f>J345</f>
        <v>1560 mm id</v>
      </c>
      <c r="K346" s="234">
        <v>1</v>
      </c>
      <c r="L346" s="208" t="s">
        <v>81</v>
      </c>
      <c r="M346" s="227">
        <f t="shared" ref="M346:M349" si="75">LEFT(J346,SEARCH(" ",J346,1)-1)*3.142*K346*0.001</f>
        <v>4.9015199999999997</v>
      </c>
      <c r="N346" s="208" t="s">
        <v>139</v>
      </c>
      <c r="O346" s="246">
        <f>VLOOKUP(I346,BM!$A$2:$X$104,17,FALSE)</f>
        <v>2.5</v>
      </c>
      <c r="P346" s="208" t="s">
        <v>112</v>
      </c>
      <c r="Q346" s="240">
        <f t="shared" si="60"/>
        <v>12.253799999999998</v>
      </c>
      <c r="R346" s="239">
        <v>1</v>
      </c>
      <c r="S346" s="240">
        <f t="shared" si="63"/>
        <v>13.25</v>
      </c>
      <c r="T346" s="216" t="s">
        <v>48</v>
      </c>
      <c r="U346" s="196" t="str">
        <f t="shared" si="61"/>
        <v>13.25 Hrs</v>
      </c>
    </row>
    <row r="347" spans="3:21" s="185" customFormat="1" ht="20.25" customHeight="1">
      <c r="C347" s="198"/>
      <c r="D347" s="203">
        <f t="shared" si="68"/>
        <v>347</v>
      </c>
      <c r="E347" s="207" t="s">
        <v>343</v>
      </c>
      <c r="F347" s="211">
        <f t="shared" si="62"/>
        <v>346</v>
      </c>
      <c r="G347" s="206" t="s">
        <v>61</v>
      </c>
      <c r="H347" s="206"/>
      <c r="I347" s="233">
        <f>18</f>
        <v>18</v>
      </c>
      <c r="J347" s="208" t="str">
        <f>J346</f>
        <v>1560 mm id</v>
      </c>
      <c r="K347" s="234">
        <v>1</v>
      </c>
      <c r="L347" s="208" t="s">
        <v>81</v>
      </c>
      <c r="M347" s="227">
        <f t="shared" si="75"/>
        <v>4.9015199999999997</v>
      </c>
      <c r="N347" s="208" t="s">
        <v>139</v>
      </c>
      <c r="O347" s="246">
        <f>VLOOKUP(I347,BM!$A$2:$X$104,18,FALSE)</f>
        <v>1</v>
      </c>
      <c r="P347" s="208" t="s">
        <v>112</v>
      </c>
      <c r="Q347" s="240">
        <f t="shared" si="60"/>
        <v>4.9015199999999997</v>
      </c>
      <c r="R347" s="239">
        <v>1</v>
      </c>
      <c r="S347" s="240">
        <f t="shared" si="63"/>
        <v>5.9</v>
      </c>
      <c r="T347" s="216" t="s">
        <v>48</v>
      </c>
      <c r="U347" s="196" t="str">
        <f t="shared" si="61"/>
        <v>5.9 Hrs</v>
      </c>
    </row>
    <row r="348" spans="3:21" s="185" customFormat="1" ht="20.25" customHeight="1">
      <c r="C348" s="198"/>
      <c r="D348" s="203">
        <f t="shared" si="68"/>
        <v>348</v>
      </c>
      <c r="E348" s="207" t="s">
        <v>344</v>
      </c>
      <c r="F348" s="211">
        <f t="shared" si="62"/>
        <v>347</v>
      </c>
      <c r="G348" s="206" t="s">
        <v>115</v>
      </c>
      <c r="H348" s="206"/>
      <c r="I348" s="224">
        <v>6</v>
      </c>
      <c r="J348" s="208" t="str">
        <f>J347</f>
        <v>1560 mm id</v>
      </c>
      <c r="K348" s="234">
        <v>1</v>
      </c>
      <c r="L348" s="208" t="s">
        <v>81</v>
      </c>
      <c r="M348" s="227">
        <f t="shared" si="75"/>
        <v>4.9015199999999997</v>
      </c>
      <c r="N348" s="208" t="s">
        <v>139</v>
      </c>
      <c r="O348" s="246">
        <f>VLOOKUP(I348,BM!$A$2:$X$104,17,FALSE)</f>
        <v>0.9</v>
      </c>
      <c r="P348" s="208" t="s">
        <v>112</v>
      </c>
      <c r="Q348" s="240">
        <f t="shared" ref="Q348:Q411" si="76">M348*O348</f>
        <v>4.4113679999999995</v>
      </c>
      <c r="R348" s="239">
        <v>1</v>
      </c>
      <c r="S348" s="240">
        <f t="shared" si="63"/>
        <v>5.41</v>
      </c>
      <c r="T348" s="216" t="s">
        <v>48</v>
      </c>
      <c r="U348" s="196" t="str">
        <f t="shared" ref="U348:U411" si="77">CONCATENATE(S348," ",T348)</f>
        <v>5.41 Hrs</v>
      </c>
    </row>
    <row r="349" spans="3:21" s="185" customFormat="1" ht="20.25" customHeight="1">
      <c r="C349" s="198"/>
      <c r="D349" s="203">
        <f t="shared" si="68"/>
        <v>349</v>
      </c>
      <c r="E349" s="207" t="s">
        <v>345</v>
      </c>
      <c r="F349" s="211">
        <f t="shared" ref="F349:F411" si="78">D348</f>
        <v>348</v>
      </c>
      <c r="G349" s="206" t="s">
        <v>61</v>
      </c>
      <c r="H349" s="206"/>
      <c r="I349" s="224">
        <v>18</v>
      </c>
      <c r="J349" s="208" t="str">
        <f>J348</f>
        <v>1560 mm id</v>
      </c>
      <c r="K349" s="234">
        <v>1</v>
      </c>
      <c r="L349" s="208" t="s">
        <v>81</v>
      </c>
      <c r="M349" s="227">
        <f t="shared" si="75"/>
        <v>4.9015199999999997</v>
      </c>
      <c r="N349" s="208" t="s">
        <v>139</v>
      </c>
      <c r="O349" s="246">
        <f>VLOOKUP(I349,BM!$A$2:$X$104,20,FALSE)</f>
        <v>0.5</v>
      </c>
      <c r="P349" s="208" t="s">
        <v>112</v>
      </c>
      <c r="Q349" s="240">
        <f t="shared" si="76"/>
        <v>2.4507599999999998</v>
      </c>
      <c r="R349" s="239">
        <v>1</v>
      </c>
      <c r="S349" s="240">
        <f t="shared" ref="S349:S411" si="79">ROUND(Q349+R349,2)</f>
        <v>3.45</v>
      </c>
      <c r="T349" s="216" t="s">
        <v>48</v>
      </c>
      <c r="U349" s="196" t="str">
        <f t="shared" si="77"/>
        <v>3.45 Hrs</v>
      </c>
    </row>
    <row r="350" spans="3:21" s="185" customFormat="1" ht="20.25" customHeight="1">
      <c r="C350" s="198">
        <f>D350</f>
        <v>350</v>
      </c>
      <c r="D350" s="203">
        <f t="shared" si="68"/>
        <v>350</v>
      </c>
      <c r="E350" s="209" t="s">
        <v>346</v>
      </c>
      <c r="F350" s="210">
        <f>D344</f>
        <v>344</v>
      </c>
      <c r="G350" s="206"/>
      <c r="H350" s="206"/>
      <c r="I350" s="208"/>
      <c r="J350" s="208"/>
      <c r="K350" s="234"/>
      <c r="L350" s="208"/>
      <c r="M350" s="217"/>
      <c r="N350" s="208"/>
      <c r="O350" s="218"/>
      <c r="P350" s="208"/>
      <c r="Q350" s="240"/>
      <c r="R350" s="239"/>
      <c r="S350" s="240"/>
      <c r="T350" s="216"/>
      <c r="U350" s="196"/>
    </row>
    <row r="351" spans="3:21" s="185" customFormat="1" ht="20.25" customHeight="1">
      <c r="C351" s="198"/>
      <c r="D351" s="203">
        <f t="shared" si="68"/>
        <v>351</v>
      </c>
      <c r="E351" s="207" t="s">
        <v>347</v>
      </c>
      <c r="F351" s="211"/>
      <c r="G351" s="206" t="s">
        <v>348</v>
      </c>
      <c r="H351" s="206"/>
      <c r="I351" s="224">
        <v>18</v>
      </c>
      <c r="J351" s="208" t="str">
        <f>J349</f>
        <v>1560 mm id</v>
      </c>
      <c r="K351" s="234">
        <v>1</v>
      </c>
      <c r="L351" s="208" t="s">
        <v>39</v>
      </c>
      <c r="M351" s="217">
        <v>1</v>
      </c>
      <c r="N351" s="208" t="s">
        <v>39</v>
      </c>
      <c r="O351" s="218">
        <v>4</v>
      </c>
      <c r="P351" s="208" t="s">
        <v>112</v>
      </c>
      <c r="Q351" s="240">
        <f t="shared" si="76"/>
        <v>4</v>
      </c>
      <c r="R351" s="239">
        <v>1</v>
      </c>
      <c r="S351" s="240">
        <f t="shared" si="79"/>
        <v>5</v>
      </c>
      <c r="T351" s="216" t="s">
        <v>48</v>
      </c>
      <c r="U351" s="196" t="str">
        <f t="shared" si="77"/>
        <v>5 Hrs</v>
      </c>
    </row>
    <row r="352" spans="3:21" s="185" customFormat="1" ht="20.25" customHeight="1">
      <c r="C352" s="198"/>
      <c r="D352" s="203">
        <f t="shared" si="68"/>
        <v>352</v>
      </c>
      <c r="E352" s="207" t="s">
        <v>349</v>
      </c>
      <c r="F352" s="211">
        <f t="shared" si="78"/>
        <v>351</v>
      </c>
      <c r="G352" s="206" t="s">
        <v>52</v>
      </c>
      <c r="H352" s="206"/>
      <c r="I352" s="224">
        <v>18</v>
      </c>
      <c r="J352" s="208" t="str">
        <f>J351</f>
        <v>1560 mm id</v>
      </c>
      <c r="K352" s="234">
        <v>1</v>
      </c>
      <c r="L352" s="208" t="s">
        <v>39</v>
      </c>
      <c r="M352" s="227">
        <f t="shared" ref="M352:M356" si="80">LEFT(J352,SEARCH(" ",J352,1)-1)*3.142*K352*0.001</f>
        <v>4.9015199999999997</v>
      </c>
      <c r="N352" s="208" t="s">
        <v>139</v>
      </c>
      <c r="O352" s="246">
        <f>VLOOKUP(I352,BM!$A$2:$X$104,5,FALSE)</f>
        <v>0.5</v>
      </c>
      <c r="P352" s="208" t="s">
        <v>112</v>
      </c>
      <c r="Q352" s="240">
        <f t="shared" si="76"/>
        <v>2.4507599999999998</v>
      </c>
      <c r="R352" s="239">
        <v>1</v>
      </c>
      <c r="S352" s="240">
        <f t="shared" si="79"/>
        <v>3.45</v>
      </c>
      <c r="T352" s="216" t="s">
        <v>48</v>
      </c>
      <c r="U352" s="196" t="str">
        <f t="shared" si="77"/>
        <v>3.45 Hrs</v>
      </c>
    </row>
    <row r="353" spans="3:21" s="185" customFormat="1" ht="20.25" customHeight="1">
      <c r="C353" s="198"/>
      <c r="D353" s="203">
        <f t="shared" si="68"/>
        <v>353</v>
      </c>
      <c r="E353" s="207" t="s">
        <v>350</v>
      </c>
      <c r="F353" s="211">
        <f t="shared" si="78"/>
        <v>352</v>
      </c>
      <c r="G353" s="206" t="s">
        <v>121</v>
      </c>
      <c r="H353" s="206"/>
      <c r="I353" s="224">
        <v>18</v>
      </c>
      <c r="J353" s="208" t="str">
        <f>J352</f>
        <v>1560 mm id</v>
      </c>
      <c r="K353" s="234">
        <v>1</v>
      </c>
      <c r="L353" s="208" t="s">
        <v>39</v>
      </c>
      <c r="M353" s="227">
        <f t="shared" si="80"/>
        <v>4.9015199999999997</v>
      </c>
      <c r="N353" s="208" t="s">
        <v>139</v>
      </c>
      <c r="O353" s="246">
        <f>VLOOKUP(I353,BM!$A$2:$X$104,5,FALSE)</f>
        <v>0.5</v>
      </c>
      <c r="P353" s="208" t="s">
        <v>112</v>
      </c>
      <c r="Q353" s="240">
        <f t="shared" si="76"/>
        <v>2.4507599999999998</v>
      </c>
      <c r="R353" s="239">
        <v>1</v>
      </c>
      <c r="S353" s="240">
        <f t="shared" si="79"/>
        <v>3.45</v>
      </c>
      <c r="T353" s="216" t="s">
        <v>48</v>
      </c>
      <c r="U353" s="196" t="str">
        <f t="shared" si="77"/>
        <v>3.45 Hrs</v>
      </c>
    </row>
    <row r="354" spans="3:21" s="185" customFormat="1" ht="20.25" customHeight="1">
      <c r="C354" s="198">
        <f>D354</f>
        <v>354</v>
      </c>
      <c r="D354" s="203">
        <f t="shared" si="68"/>
        <v>354</v>
      </c>
      <c r="E354" s="209" t="s">
        <v>351</v>
      </c>
      <c r="F354" s="210">
        <f>D350</f>
        <v>350</v>
      </c>
      <c r="G354" s="206"/>
      <c r="H354" s="206"/>
      <c r="I354" s="208"/>
      <c r="J354" s="208"/>
      <c r="K354" s="234"/>
      <c r="L354" s="208"/>
      <c r="M354" s="217"/>
      <c r="N354" s="208"/>
      <c r="O354" s="218"/>
      <c r="P354" s="208"/>
      <c r="Q354" s="240"/>
      <c r="R354" s="239"/>
      <c r="S354" s="240"/>
      <c r="T354" s="216"/>
      <c r="U354" s="196"/>
    </row>
    <row r="355" spans="3:21" s="185" customFormat="1" ht="20.25" customHeight="1">
      <c r="C355" s="198"/>
      <c r="D355" s="203">
        <f t="shared" si="68"/>
        <v>355</v>
      </c>
      <c r="E355" s="207" t="s">
        <v>352</v>
      </c>
      <c r="F355" s="211"/>
      <c r="G355" s="206" t="s">
        <v>299</v>
      </c>
      <c r="H355" s="206"/>
      <c r="I355" s="224">
        <v>18</v>
      </c>
      <c r="J355" s="208" t="str">
        <f>J353</f>
        <v>1560 mm id</v>
      </c>
      <c r="K355" s="234">
        <v>1</v>
      </c>
      <c r="L355" s="208" t="s">
        <v>81</v>
      </c>
      <c r="M355" s="227">
        <f t="shared" si="80"/>
        <v>4.9015199999999997</v>
      </c>
      <c r="N355" s="208" t="s">
        <v>139</v>
      </c>
      <c r="O355" s="246">
        <f>VLOOKUP(I355,BM!$A$2:$X$104,10,FALSE)</f>
        <v>1</v>
      </c>
      <c r="P355" s="208" t="s">
        <v>112</v>
      </c>
      <c r="Q355" s="240">
        <f t="shared" si="76"/>
        <v>4.9015199999999997</v>
      </c>
      <c r="R355" s="239">
        <v>1</v>
      </c>
      <c r="S355" s="240">
        <f t="shared" si="79"/>
        <v>5.9</v>
      </c>
      <c r="T355" s="216" t="s">
        <v>48</v>
      </c>
      <c r="U355" s="196" t="str">
        <f t="shared" si="77"/>
        <v>5.9 Hrs</v>
      </c>
    </row>
    <row r="356" spans="3:21" s="185" customFormat="1" ht="20.25" customHeight="1">
      <c r="C356" s="198"/>
      <c r="D356" s="203">
        <f t="shared" si="68"/>
        <v>356</v>
      </c>
      <c r="E356" s="207" t="s">
        <v>353</v>
      </c>
      <c r="F356" s="211">
        <f t="shared" si="78"/>
        <v>355</v>
      </c>
      <c r="G356" s="206" t="s">
        <v>44</v>
      </c>
      <c r="H356" s="206"/>
      <c r="I356" s="224">
        <v>18</v>
      </c>
      <c r="J356" s="208" t="str">
        <f>J353</f>
        <v>1560 mm id</v>
      </c>
      <c r="K356" s="234">
        <v>1</v>
      </c>
      <c r="L356" s="208" t="s">
        <v>81</v>
      </c>
      <c r="M356" s="227">
        <f t="shared" si="80"/>
        <v>4.9015199999999997</v>
      </c>
      <c r="N356" s="208" t="s">
        <v>139</v>
      </c>
      <c r="O356" s="218">
        <v>1</v>
      </c>
      <c r="P356" s="208" t="s">
        <v>112</v>
      </c>
      <c r="Q356" s="240">
        <f t="shared" si="76"/>
        <v>4.9015199999999997</v>
      </c>
      <c r="R356" s="239">
        <v>1</v>
      </c>
      <c r="S356" s="240">
        <f t="shared" si="79"/>
        <v>5.9</v>
      </c>
      <c r="T356" s="216" t="s">
        <v>48</v>
      </c>
      <c r="U356" s="196" t="str">
        <f t="shared" si="77"/>
        <v>5.9 Hrs</v>
      </c>
    </row>
    <row r="357" spans="3:21" s="185" customFormat="1" ht="20.25" customHeight="1">
      <c r="C357" s="198">
        <f>D357</f>
        <v>357</v>
      </c>
      <c r="D357" s="203">
        <f t="shared" si="68"/>
        <v>357</v>
      </c>
      <c r="E357" s="209" t="s">
        <v>354</v>
      </c>
      <c r="F357" s="210">
        <f>D354</f>
        <v>354</v>
      </c>
      <c r="G357" s="206"/>
      <c r="H357" s="206"/>
      <c r="I357" s="208"/>
      <c r="J357" s="208"/>
      <c r="K357" s="234"/>
      <c r="L357" s="208"/>
      <c r="M357" s="217"/>
      <c r="N357" s="208"/>
      <c r="O357" s="218"/>
      <c r="P357" s="208"/>
      <c r="Q357" s="240"/>
      <c r="R357" s="239"/>
      <c r="S357" s="240"/>
      <c r="T357" s="216"/>
      <c r="U357" s="196"/>
    </row>
    <row r="358" spans="3:21" s="185" customFormat="1" ht="20.25" customHeight="1">
      <c r="C358" s="198"/>
      <c r="D358" s="203">
        <f t="shared" si="68"/>
        <v>358</v>
      </c>
      <c r="E358" s="207" t="s">
        <v>323</v>
      </c>
      <c r="F358" s="211"/>
      <c r="G358" s="206" t="s">
        <v>44</v>
      </c>
      <c r="H358" s="206"/>
      <c r="I358" s="224">
        <v>12</v>
      </c>
      <c r="J358" s="208" t="str">
        <f>J356</f>
        <v>1560 mm id</v>
      </c>
      <c r="K358" s="234">
        <v>1</v>
      </c>
      <c r="L358" s="208" t="s">
        <v>81</v>
      </c>
      <c r="M358" s="217">
        <v>1</v>
      </c>
      <c r="N358" s="208" t="s">
        <v>139</v>
      </c>
      <c r="O358" s="218">
        <v>1</v>
      </c>
      <c r="P358" s="208" t="s">
        <v>112</v>
      </c>
      <c r="Q358" s="240">
        <f t="shared" si="76"/>
        <v>1</v>
      </c>
      <c r="R358" s="239">
        <v>1</v>
      </c>
      <c r="S358" s="240">
        <f t="shared" si="79"/>
        <v>2</v>
      </c>
      <c r="T358" s="216" t="s">
        <v>48</v>
      </c>
      <c r="U358" s="196" t="str">
        <f t="shared" si="77"/>
        <v>2 Hrs</v>
      </c>
    </row>
    <row r="359" spans="3:21" s="185" customFormat="1" ht="20.25" customHeight="1">
      <c r="C359" s="198"/>
      <c r="D359" s="203">
        <f t="shared" si="68"/>
        <v>359</v>
      </c>
      <c r="E359" s="207" t="s">
        <v>355</v>
      </c>
      <c r="F359" s="211">
        <f t="shared" si="78"/>
        <v>358</v>
      </c>
      <c r="G359" s="206" t="s">
        <v>115</v>
      </c>
      <c r="H359" s="206"/>
      <c r="I359" s="224">
        <v>12</v>
      </c>
      <c r="J359" s="208" t="str">
        <f>J358</f>
        <v>1560 mm id</v>
      </c>
      <c r="K359" s="234">
        <v>1</v>
      </c>
      <c r="L359" s="208" t="s">
        <v>81</v>
      </c>
      <c r="M359" s="227">
        <f t="shared" ref="M359:M365" si="81">LEFT(J359,SEARCH(" ",J359,1)-1)*3.142*K359*0.001</f>
        <v>4.9015199999999997</v>
      </c>
      <c r="N359" s="208" t="s">
        <v>139</v>
      </c>
      <c r="O359" s="246">
        <f>VLOOKUP(I359,BM!$A$2:$X$104,17,FALSE)</f>
        <v>2.5</v>
      </c>
      <c r="P359" s="208" t="s">
        <v>112</v>
      </c>
      <c r="Q359" s="240">
        <f t="shared" si="76"/>
        <v>12.253799999999998</v>
      </c>
      <c r="R359" s="239">
        <v>1</v>
      </c>
      <c r="S359" s="240">
        <f t="shared" si="79"/>
        <v>13.25</v>
      </c>
      <c r="T359" s="216" t="s">
        <v>48</v>
      </c>
      <c r="U359" s="196" t="str">
        <f t="shared" si="77"/>
        <v>13.25 Hrs</v>
      </c>
    </row>
    <row r="360" spans="3:21" s="185" customFormat="1" ht="20.25" customHeight="1">
      <c r="C360" s="198"/>
      <c r="D360" s="203">
        <f t="shared" si="68"/>
        <v>360</v>
      </c>
      <c r="E360" s="207" t="s">
        <v>356</v>
      </c>
      <c r="F360" s="211">
        <f t="shared" si="78"/>
        <v>359</v>
      </c>
      <c r="G360" s="206" t="s">
        <v>61</v>
      </c>
      <c r="H360" s="206"/>
      <c r="I360" s="224">
        <v>18</v>
      </c>
      <c r="J360" s="208" t="str">
        <f>J359</f>
        <v>1560 mm id</v>
      </c>
      <c r="K360" s="234">
        <v>1</v>
      </c>
      <c r="L360" s="208" t="s">
        <v>81</v>
      </c>
      <c r="M360" s="227">
        <f t="shared" si="81"/>
        <v>4.9015199999999997</v>
      </c>
      <c r="N360" s="208" t="s">
        <v>139</v>
      </c>
      <c r="O360" s="246">
        <f>VLOOKUP(I360,BM!$A$2:$X$104,18,FALSE)</f>
        <v>1</v>
      </c>
      <c r="P360" s="208" t="s">
        <v>112</v>
      </c>
      <c r="Q360" s="240">
        <f t="shared" si="76"/>
        <v>4.9015199999999997</v>
      </c>
      <c r="R360" s="239">
        <v>1</v>
      </c>
      <c r="S360" s="240">
        <f t="shared" si="79"/>
        <v>5.9</v>
      </c>
      <c r="T360" s="216" t="s">
        <v>48</v>
      </c>
      <c r="U360" s="196" t="str">
        <f t="shared" si="77"/>
        <v>5.9 Hrs</v>
      </c>
    </row>
    <row r="361" spans="3:21" s="185" customFormat="1" ht="20.25" customHeight="1">
      <c r="C361" s="198"/>
      <c r="D361" s="203">
        <f t="shared" si="68"/>
        <v>361</v>
      </c>
      <c r="E361" s="207" t="s">
        <v>357</v>
      </c>
      <c r="F361" s="211">
        <f t="shared" si="78"/>
        <v>360</v>
      </c>
      <c r="G361" s="206" t="s">
        <v>115</v>
      </c>
      <c r="H361" s="206"/>
      <c r="I361" s="224">
        <v>6</v>
      </c>
      <c r="J361" s="208" t="str">
        <f>J360</f>
        <v>1560 mm id</v>
      </c>
      <c r="K361" s="234">
        <v>1</v>
      </c>
      <c r="L361" s="208" t="s">
        <v>81</v>
      </c>
      <c r="M361" s="227">
        <f t="shared" si="81"/>
        <v>4.9015199999999997</v>
      </c>
      <c r="N361" s="208" t="s">
        <v>139</v>
      </c>
      <c r="O361" s="246">
        <f>VLOOKUP(I361,BM!$A$2:$X$104,17,FALSE)</f>
        <v>0.9</v>
      </c>
      <c r="P361" s="208" t="s">
        <v>112</v>
      </c>
      <c r="Q361" s="240">
        <f t="shared" si="76"/>
        <v>4.4113679999999995</v>
      </c>
      <c r="R361" s="239">
        <v>1</v>
      </c>
      <c r="S361" s="240">
        <f t="shared" si="79"/>
        <v>5.41</v>
      </c>
      <c r="T361" s="216" t="s">
        <v>48</v>
      </c>
      <c r="U361" s="196" t="str">
        <f t="shared" si="77"/>
        <v>5.41 Hrs</v>
      </c>
    </row>
    <row r="362" spans="3:21" s="185" customFormat="1" ht="20.25" customHeight="1">
      <c r="C362" s="198"/>
      <c r="D362" s="203">
        <f t="shared" si="68"/>
        <v>362</v>
      </c>
      <c r="E362" s="207" t="s">
        <v>358</v>
      </c>
      <c r="F362" s="211">
        <f t="shared" si="78"/>
        <v>361</v>
      </c>
      <c r="G362" s="206" t="s">
        <v>61</v>
      </c>
      <c r="H362" s="206"/>
      <c r="I362" s="224">
        <v>18</v>
      </c>
      <c r="J362" s="208" t="str">
        <f>J361</f>
        <v>1560 mm id</v>
      </c>
      <c r="K362" s="234">
        <v>1</v>
      </c>
      <c r="L362" s="208" t="s">
        <v>81</v>
      </c>
      <c r="M362" s="227">
        <f t="shared" si="81"/>
        <v>4.9015199999999997</v>
      </c>
      <c r="N362" s="208" t="s">
        <v>139</v>
      </c>
      <c r="O362" s="246">
        <f>VLOOKUP(I362,BM!$A$2:$X$104,20,FALSE)</f>
        <v>0.5</v>
      </c>
      <c r="P362" s="208" t="s">
        <v>112</v>
      </c>
      <c r="Q362" s="240">
        <f t="shared" si="76"/>
        <v>2.4507599999999998</v>
      </c>
      <c r="R362" s="239">
        <v>1</v>
      </c>
      <c r="S362" s="240">
        <f t="shared" si="79"/>
        <v>3.45</v>
      </c>
      <c r="T362" s="216" t="s">
        <v>48</v>
      </c>
      <c r="U362" s="196" t="str">
        <f t="shared" si="77"/>
        <v>3.45 Hrs</v>
      </c>
    </row>
    <row r="363" spans="3:21" s="185" customFormat="1" ht="20.25" customHeight="1">
      <c r="C363" s="198">
        <f>D363</f>
        <v>363</v>
      </c>
      <c r="D363" s="203">
        <f t="shared" si="68"/>
        <v>363</v>
      </c>
      <c r="E363" s="209" t="s">
        <v>359</v>
      </c>
      <c r="F363" s="210">
        <f>D357</f>
        <v>357</v>
      </c>
      <c r="G363" s="206"/>
      <c r="H363" s="206"/>
      <c r="I363" s="208"/>
      <c r="J363" s="208"/>
      <c r="K363" s="234"/>
      <c r="L363" s="208"/>
      <c r="M363" s="217"/>
      <c r="N363" s="208"/>
      <c r="O363" s="218"/>
      <c r="P363" s="208"/>
      <c r="Q363" s="240"/>
      <c r="R363" s="239"/>
      <c r="S363" s="240"/>
      <c r="T363" s="216"/>
      <c r="U363" s="196"/>
    </row>
    <row r="364" spans="3:21" s="185" customFormat="1" ht="20.25" customHeight="1">
      <c r="C364" s="198"/>
      <c r="D364" s="203">
        <f t="shared" si="68"/>
        <v>364</v>
      </c>
      <c r="E364" s="207" t="s">
        <v>360</v>
      </c>
      <c r="F364" s="211"/>
      <c r="G364" s="206" t="s">
        <v>299</v>
      </c>
      <c r="H364" s="206"/>
      <c r="I364" s="224">
        <v>18</v>
      </c>
      <c r="J364" s="208" t="str">
        <f>J362</f>
        <v>1560 mm id</v>
      </c>
      <c r="K364" s="234">
        <v>1</v>
      </c>
      <c r="L364" s="208" t="s">
        <v>81</v>
      </c>
      <c r="M364" s="227">
        <f t="shared" si="81"/>
        <v>4.9015199999999997</v>
      </c>
      <c r="N364" s="208" t="s">
        <v>139</v>
      </c>
      <c r="O364" s="246">
        <f>VLOOKUP(I364,BM!$A$2:$X$104,10,FALSE)</f>
        <v>1</v>
      </c>
      <c r="P364" s="208" t="s">
        <v>112</v>
      </c>
      <c r="Q364" s="240">
        <f t="shared" si="76"/>
        <v>4.9015199999999997</v>
      </c>
      <c r="R364" s="239">
        <v>1</v>
      </c>
      <c r="S364" s="240">
        <f t="shared" si="79"/>
        <v>5.9</v>
      </c>
      <c r="T364" s="216" t="s">
        <v>48</v>
      </c>
      <c r="U364" s="196" t="str">
        <f t="shared" si="77"/>
        <v>5.9 Hrs</v>
      </c>
    </row>
    <row r="365" spans="3:21" s="185" customFormat="1" ht="20.25" customHeight="1">
      <c r="C365" s="198"/>
      <c r="D365" s="203">
        <f t="shared" si="68"/>
        <v>365</v>
      </c>
      <c r="E365" s="207" t="s">
        <v>361</v>
      </c>
      <c r="F365" s="211">
        <f t="shared" si="78"/>
        <v>364</v>
      </c>
      <c r="G365" s="206" t="s">
        <v>44</v>
      </c>
      <c r="H365" s="206"/>
      <c r="I365" s="224">
        <v>18</v>
      </c>
      <c r="J365" s="208" t="str">
        <f>J364</f>
        <v>1560 mm id</v>
      </c>
      <c r="K365" s="234">
        <v>1</v>
      </c>
      <c r="L365" s="208" t="s">
        <v>81</v>
      </c>
      <c r="M365" s="227">
        <f t="shared" si="81"/>
        <v>4.9015199999999997</v>
      </c>
      <c r="N365" s="208" t="s">
        <v>139</v>
      </c>
      <c r="O365" s="218">
        <v>1</v>
      </c>
      <c r="P365" s="208" t="s">
        <v>112</v>
      </c>
      <c r="Q365" s="240">
        <f t="shared" si="76"/>
        <v>4.9015199999999997</v>
      </c>
      <c r="R365" s="239">
        <v>1</v>
      </c>
      <c r="S365" s="240">
        <f t="shared" si="79"/>
        <v>5.9</v>
      </c>
      <c r="T365" s="216" t="s">
        <v>48</v>
      </c>
      <c r="U365" s="196" t="str">
        <f t="shared" si="77"/>
        <v>5.9 Hrs</v>
      </c>
    </row>
    <row r="366" spans="3:21" s="185" customFormat="1" ht="20.25" customHeight="1">
      <c r="C366" s="198">
        <f>D366</f>
        <v>366</v>
      </c>
      <c r="D366" s="203">
        <f t="shared" si="68"/>
        <v>366</v>
      </c>
      <c r="E366" s="209" t="s">
        <v>362</v>
      </c>
      <c r="F366" s="210">
        <f>D363</f>
        <v>363</v>
      </c>
      <c r="G366" s="206"/>
      <c r="H366" s="206"/>
      <c r="I366" s="208"/>
      <c r="J366" s="208"/>
      <c r="K366" s="234"/>
      <c r="L366" s="208"/>
      <c r="M366" s="217"/>
      <c r="N366" s="208"/>
      <c r="O366" s="218"/>
      <c r="P366" s="208"/>
      <c r="Q366" s="240"/>
      <c r="R366" s="239"/>
      <c r="S366" s="240"/>
      <c r="T366" s="216"/>
      <c r="U366" s="196"/>
    </row>
    <row r="367" spans="3:21" s="185" customFormat="1" ht="20.25" customHeight="1">
      <c r="C367" s="198"/>
      <c r="D367" s="203">
        <f t="shared" si="68"/>
        <v>367</v>
      </c>
      <c r="E367" s="207" t="s">
        <v>363</v>
      </c>
      <c r="F367" s="211"/>
      <c r="G367" s="206" t="s">
        <v>44</v>
      </c>
      <c r="H367" s="206"/>
      <c r="I367" s="224">
        <v>12</v>
      </c>
      <c r="J367" s="208" t="str">
        <f>J365</f>
        <v>1560 mm id</v>
      </c>
      <c r="K367" s="234">
        <v>1</v>
      </c>
      <c r="L367" s="208" t="s">
        <v>81</v>
      </c>
      <c r="M367" s="217">
        <v>1</v>
      </c>
      <c r="N367" s="208" t="s">
        <v>249</v>
      </c>
      <c r="O367" s="218">
        <v>1</v>
      </c>
      <c r="P367" s="208" t="s">
        <v>112</v>
      </c>
      <c r="Q367" s="240">
        <f t="shared" si="76"/>
        <v>1</v>
      </c>
      <c r="R367" s="239">
        <v>1</v>
      </c>
      <c r="S367" s="240">
        <f t="shared" si="79"/>
        <v>2</v>
      </c>
      <c r="T367" s="216" t="s">
        <v>48</v>
      </c>
      <c r="U367" s="196" t="str">
        <f t="shared" si="77"/>
        <v>2 Hrs</v>
      </c>
    </row>
    <row r="368" spans="3:21" s="185" customFormat="1" ht="20.25" customHeight="1">
      <c r="C368" s="198"/>
      <c r="D368" s="203">
        <f t="shared" si="68"/>
        <v>368</v>
      </c>
      <c r="E368" s="207" t="s">
        <v>364</v>
      </c>
      <c r="F368" s="211">
        <f t="shared" si="78"/>
        <v>367</v>
      </c>
      <c r="G368" s="206" t="s">
        <v>115</v>
      </c>
      <c r="H368" s="206"/>
      <c r="I368" s="224">
        <v>12</v>
      </c>
      <c r="J368" s="208" t="str">
        <f>J367</f>
        <v>1560 mm id</v>
      </c>
      <c r="K368" s="234">
        <v>1</v>
      </c>
      <c r="L368" s="208" t="s">
        <v>81</v>
      </c>
      <c r="M368" s="227">
        <f t="shared" ref="M368:M371" si="82">LEFT(J368,SEARCH(" ",J368,1)-1)*3.142*K368*0.001</f>
        <v>4.9015199999999997</v>
      </c>
      <c r="N368" s="208" t="s">
        <v>249</v>
      </c>
      <c r="O368" s="246">
        <f>VLOOKUP(I368,BM!$A$2:$X$104,17,FALSE)</f>
        <v>2.5</v>
      </c>
      <c r="P368" s="208" t="s">
        <v>112</v>
      </c>
      <c r="Q368" s="240">
        <f t="shared" si="76"/>
        <v>12.253799999999998</v>
      </c>
      <c r="R368" s="239">
        <v>1</v>
      </c>
      <c r="S368" s="240">
        <f t="shared" si="79"/>
        <v>13.25</v>
      </c>
      <c r="T368" s="216" t="s">
        <v>48</v>
      </c>
      <c r="U368" s="196" t="str">
        <f t="shared" si="77"/>
        <v>13.25 Hrs</v>
      </c>
    </row>
    <row r="369" spans="3:21" s="185" customFormat="1" ht="20.25" customHeight="1">
      <c r="C369" s="198"/>
      <c r="D369" s="203">
        <f t="shared" si="68"/>
        <v>369</v>
      </c>
      <c r="E369" s="207" t="s">
        <v>365</v>
      </c>
      <c r="F369" s="211">
        <f t="shared" si="78"/>
        <v>368</v>
      </c>
      <c r="G369" s="206" t="s">
        <v>61</v>
      </c>
      <c r="H369" s="206"/>
      <c r="I369" s="224">
        <v>18</v>
      </c>
      <c r="J369" s="208" t="str">
        <f>J368</f>
        <v>1560 mm id</v>
      </c>
      <c r="K369" s="234">
        <v>1</v>
      </c>
      <c r="L369" s="208" t="s">
        <v>81</v>
      </c>
      <c r="M369" s="227">
        <f t="shared" si="82"/>
        <v>4.9015199999999997</v>
      </c>
      <c r="N369" s="208" t="s">
        <v>249</v>
      </c>
      <c r="O369" s="246">
        <f>VLOOKUP(I369,BM!$A$2:$X$104,18,FALSE)</f>
        <v>1</v>
      </c>
      <c r="P369" s="208" t="s">
        <v>112</v>
      </c>
      <c r="Q369" s="240">
        <f t="shared" si="76"/>
        <v>4.9015199999999997</v>
      </c>
      <c r="R369" s="239">
        <v>1</v>
      </c>
      <c r="S369" s="240">
        <f t="shared" si="79"/>
        <v>5.9</v>
      </c>
      <c r="T369" s="216" t="s">
        <v>48</v>
      </c>
      <c r="U369" s="196" t="str">
        <f t="shared" si="77"/>
        <v>5.9 Hrs</v>
      </c>
    </row>
    <row r="370" spans="3:21" s="185" customFormat="1" ht="20.25" customHeight="1">
      <c r="C370" s="198"/>
      <c r="D370" s="203">
        <f t="shared" si="68"/>
        <v>370</v>
      </c>
      <c r="E370" s="207" t="s">
        <v>366</v>
      </c>
      <c r="F370" s="211">
        <f t="shared" si="78"/>
        <v>369</v>
      </c>
      <c r="G370" s="206" t="s">
        <v>115</v>
      </c>
      <c r="H370" s="206"/>
      <c r="I370" s="224">
        <v>6</v>
      </c>
      <c r="J370" s="208" t="str">
        <f>J369</f>
        <v>1560 mm id</v>
      </c>
      <c r="K370" s="234">
        <v>1</v>
      </c>
      <c r="L370" s="208" t="s">
        <v>81</v>
      </c>
      <c r="M370" s="227">
        <f t="shared" si="82"/>
        <v>4.9015199999999997</v>
      </c>
      <c r="N370" s="208" t="s">
        <v>249</v>
      </c>
      <c r="O370" s="246">
        <f>VLOOKUP(I370,BM!$A$2:$X$104,17,FALSE)</f>
        <v>0.9</v>
      </c>
      <c r="P370" s="208" t="s">
        <v>112</v>
      </c>
      <c r="Q370" s="240">
        <f t="shared" si="76"/>
        <v>4.4113679999999995</v>
      </c>
      <c r="R370" s="239">
        <v>1</v>
      </c>
      <c r="S370" s="240">
        <f t="shared" si="79"/>
        <v>5.41</v>
      </c>
      <c r="T370" s="216" t="s">
        <v>48</v>
      </c>
      <c r="U370" s="196" t="str">
        <f t="shared" si="77"/>
        <v>5.41 Hrs</v>
      </c>
    </row>
    <row r="371" spans="3:21" s="185" customFormat="1" ht="20.25" customHeight="1">
      <c r="C371" s="198"/>
      <c r="D371" s="203">
        <f t="shared" si="68"/>
        <v>371</v>
      </c>
      <c r="E371" s="207" t="s">
        <v>367</v>
      </c>
      <c r="F371" s="211">
        <f t="shared" si="78"/>
        <v>370</v>
      </c>
      <c r="G371" s="206" t="s">
        <v>61</v>
      </c>
      <c r="H371" s="206"/>
      <c r="I371" s="224">
        <v>18</v>
      </c>
      <c r="J371" s="208" t="str">
        <f>J370</f>
        <v>1560 mm id</v>
      </c>
      <c r="K371" s="234">
        <v>1</v>
      </c>
      <c r="L371" s="208" t="s">
        <v>81</v>
      </c>
      <c r="M371" s="227">
        <f t="shared" si="82"/>
        <v>4.9015199999999997</v>
      </c>
      <c r="N371" s="208" t="s">
        <v>249</v>
      </c>
      <c r="O371" s="246">
        <f>VLOOKUP(I371,BM!$A$2:$X$104,20,FALSE)</f>
        <v>0.5</v>
      </c>
      <c r="P371" s="208" t="s">
        <v>112</v>
      </c>
      <c r="Q371" s="240">
        <f t="shared" si="76"/>
        <v>2.4507599999999998</v>
      </c>
      <c r="R371" s="239">
        <v>1</v>
      </c>
      <c r="S371" s="240">
        <f t="shared" si="79"/>
        <v>3.45</v>
      </c>
      <c r="T371" s="216" t="s">
        <v>48</v>
      </c>
      <c r="U371" s="196" t="str">
        <f t="shared" si="77"/>
        <v>3.45 Hrs</v>
      </c>
    </row>
    <row r="372" spans="3:21" s="185" customFormat="1" ht="20.25" customHeight="1">
      <c r="C372" s="198">
        <f>D372</f>
        <v>372</v>
      </c>
      <c r="D372" s="203">
        <f t="shared" si="68"/>
        <v>372</v>
      </c>
      <c r="E372" s="209" t="s">
        <v>368</v>
      </c>
      <c r="F372" s="210">
        <f>D366</f>
        <v>366</v>
      </c>
      <c r="G372" s="206"/>
      <c r="H372" s="206"/>
      <c r="I372" s="208"/>
      <c r="J372" s="208"/>
      <c r="K372" s="234"/>
      <c r="L372" s="208"/>
      <c r="M372" s="217"/>
      <c r="N372" s="208"/>
      <c r="O372" s="218"/>
      <c r="P372" s="208"/>
      <c r="Q372" s="240"/>
      <c r="R372" s="239"/>
      <c r="S372" s="240"/>
      <c r="T372" s="216"/>
      <c r="U372" s="196"/>
    </row>
    <row r="373" spans="3:21" s="185" customFormat="1" ht="20.25" customHeight="1">
      <c r="C373" s="198"/>
      <c r="D373" s="203">
        <f t="shared" si="68"/>
        <v>373</v>
      </c>
      <c r="E373" s="207" t="s">
        <v>369</v>
      </c>
      <c r="F373" s="211"/>
      <c r="G373" s="206" t="s">
        <v>348</v>
      </c>
      <c r="H373" s="206"/>
      <c r="I373" s="224">
        <v>18</v>
      </c>
      <c r="J373" s="208" t="str">
        <f>J371</f>
        <v>1560 mm id</v>
      </c>
      <c r="K373" s="234">
        <v>1</v>
      </c>
      <c r="L373" s="208" t="s">
        <v>81</v>
      </c>
      <c r="M373" s="217">
        <v>1</v>
      </c>
      <c r="N373" s="208" t="s">
        <v>81</v>
      </c>
      <c r="O373" s="218">
        <v>4</v>
      </c>
      <c r="P373" s="208" t="s">
        <v>112</v>
      </c>
      <c r="Q373" s="240">
        <f t="shared" si="76"/>
        <v>4</v>
      </c>
      <c r="R373" s="239">
        <v>1</v>
      </c>
      <c r="S373" s="240">
        <f t="shared" si="79"/>
        <v>5</v>
      </c>
      <c r="T373" s="216" t="s">
        <v>48</v>
      </c>
      <c r="U373" s="196" t="str">
        <f t="shared" si="77"/>
        <v>5 Hrs</v>
      </c>
    </row>
    <row r="374" spans="3:21" s="185" customFormat="1" ht="20.25" customHeight="1">
      <c r="C374" s="198"/>
      <c r="D374" s="203">
        <f t="shared" si="68"/>
        <v>374</v>
      </c>
      <c r="E374" s="207" t="s">
        <v>370</v>
      </c>
      <c r="F374" s="211">
        <f t="shared" si="78"/>
        <v>373</v>
      </c>
      <c r="G374" s="206" t="s">
        <v>348</v>
      </c>
      <c r="H374" s="206"/>
      <c r="I374" s="224">
        <v>18</v>
      </c>
      <c r="J374" s="208" t="str">
        <f>J373</f>
        <v>1560 mm id</v>
      </c>
      <c r="K374" s="234">
        <v>1</v>
      </c>
      <c r="L374" s="208" t="s">
        <v>81</v>
      </c>
      <c r="M374" s="217">
        <v>1</v>
      </c>
      <c r="N374" s="208" t="s">
        <v>81</v>
      </c>
      <c r="O374" s="218">
        <v>4</v>
      </c>
      <c r="P374" s="208" t="s">
        <v>112</v>
      </c>
      <c r="Q374" s="240">
        <f t="shared" si="76"/>
        <v>4</v>
      </c>
      <c r="R374" s="239">
        <v>1</v>
      </c>
      <c r="S374" s="240">
        <f t="shared" si="79"/>
        <v>5</v>
      </c>
      <c r="T374" s="216" t="s">
        <v>48</v>
      </c>
      <c r="U374" s="196" t="str">
        <f t="shared" si="77"/>
        <v>5 Hrs</v>
      </c>
    </row>
    <row r="375" spans="3:21" s="185" customFormat="1" ht="20.25" customHeight="1">
      <c r="C375" s="198"/>
      <c r="D375" s="203">
        <f t="shared" si="68"/>
        <v>375</v>
      </c>
      <c r="E375" s="207" t="s">
        <v>370</v>
      </c>
      <c r="F375" s="211">
        <f t="shared" si="78"/>
        <v>374</v>
      </c>
      <c r="G375" s="206" t="s">
        <v>348</v>
      </c>
      <c r="H375" s="206"/>
      <c r="I375" s="224">
        <v>18</v>
      </c>
      <c r="J375" s="208" t="str">
        <f>J374</f>
        <v>1560 mm id</v>
      </c>
      <c r="K375" s="234">
        <v>1</v>
      </c>
      <c r="L375" s="208" t="s">
        <v>81</v>
      </c>
      <c r="M375" s="217">
        <v>1</v>
      </c>
      <c r="N375" s="208" t="s">
        <v>81</v>
      </c>
      <c r="O375" s="218">
        <v>4</v>
      </c>
      <c r="P375" s="208" t="s">
        <v>112</v>
      </c>
      <c r="Q375" s="240">
        <f t="shared" si="76"/>
        <v>4</v>
      </c>
      <c r="R375" s="239">
        <v>1</v>
      </c>
      <c r="S375" s="240">
        <f t="shared" si="79"/>
        <v>5</v>
      </c>
      <c r="T375" s="216" t="s">
        <v>48</v>
      </c>
      <c r="U375" s="196" t="str">
        <f t="shared" si="77"/>
        <v>5 Hrs</v>
      </c>
    </row>
    <row r="376" spans="3:21" s="185" customFormat="1" ht="20.25" customHeight="1">
      <c r="C376" s="198">
        <f>D376</f>
        <v>376</v>
      </c>
      <c r="D376" s="203">
        <f t="shared" si="68"/>
        <v>376</v>
      </c>
      <c r="E376" s="209" t="s">
        <v>371</v>
      </c>
      <c r="F376" s="210">
        <f>D372</f>
        <v>372</v>
      </c>
      <c r="G376" s="206"/>
      <c r="H376" s="206"/>
      <c r="I376" s="208"/>
      <c r="J376" s="208"/>
      <c r="K376" s="234"/>
      <c r="L376" s="208"/>
      <c r="M376" s="217"/>
      <c r="N376" s="208"/>
      <c r="O376" s="218"/>
      <c r="P376" s="208"/>
      <c r="Q376" s="240"/>
      <c r="R376" s="239"/>
      <c r="S376" s="240"/>
      <c r="T376" s="216"/>
      <c r="U376" s="196"/>
    </row>
    <row r="377" spans="3:21" s="185" customFormat="1" ht="20.25" customHeight="1">
      <c r="C377" s="198"/>
      <c r="D377" s="203">
        <f t="shared" si="68"/>
        <v>377</v>
      </c>
      <c r="E377" s="207" t="s">
        <v>372</v>
      </c>
      <c r="F377" s="211"/>
      <c r="G377" s="206" t="s">
        <v>52</v>
      </c>
      <c r="H377" s="206"/>
      <c r="I377" s="224">
        <v>18</v>
      </c>
      <c r="J377" s="234" t="s">
        <v>373</v>
      </c>
      <c r="K377" s="234">
        <v>1</v>
      </c>
      <c r="L377" s="208" t="s">
        <v>39</v>
      </c>
      <c r="M377" s="227">
        <f t="shared" ref="M377:M378" si="83">LEFT(J377,SEARCH(" ",J377,1)-1)*3.142*K377*0.001</f>
        <v>3.0540240000000001</v>
      </c>
      <c r="N377" s="208" t="s">
        <v>249</v>
      </c>
      <c r="O377" s="246">
        <f>VLOOKUP(I377,BM!$A$2:$X$104,2,FALSE)</f>
        <v>0.1</v>
      </c>
      <c r="P377" s="208" t="s">
        <v>112</v>
      </c>
      <c r="Q377" s="240">
        <f t="shared" si="76"/>
        <v>0.30540240000000002</v>
      </c>
      <c r="R377" s="239">
        <v>1</v>
      </c>
      <c r="S377" s="240">
        <f t="shared" si="79"/>
        <v>1.31</v>
      </c>
      <c r="T377" s="216" t="s">
        <v>48</v>
      </c>
      <c r="U377" s="196" t="str">
        <f t="shared" si="77"/>
        <v>1.31 Hrs</v>
      </c>
    </row>
    <row r="378" spans="3:21" s="185" customFormat="1" ht="20.25" customHeight="1">
      <c r="C378" s="198"/>
      <c r="D378" s="203">
        <f t="shared" si="68"/>
        <v>378</v>
      </c>
      <c r="E378" s="207" t="s">
        <v>372</v>
      </c>
      <c r="F378" s="211">
        <f t="shared" si="78"/>
        <v>377</v>
      </c>
      <c r="G378" s="206" t="s">
        <v>52</v>
      </c>
      <c r="H378" s="206"/>
      <c r="I378" s="224">
        <v>18</v>
      </c>
      <c r="J378" s="208" t="str">
        <f>J377</f>
        <v>972 mm lip od</v>
      </c>
      <c r="K378" s="234">
        <v>1</v>
      </c>
      <c r="L378" s="208" t="s">
        <v>39</v>
      </c>
      <c r="M378" s="227">
        <f t="shared" si="83"/>
        <v>3.0540240000000001</v>
      </c>
      <c r="N378" s="208" t="s">
        <v>249</v>
      </c>
      <c r="O378" s="246">
        <f>VLOOKUP(I378,BM!$A$2:$X$104,2,FALSE)</f>
        <v>0.1</v>
      </c>
      <c r="P378" s="208" t="s">
        <v>112</v>
      </c>
      <c r="Q378" s="240">
        <f t="shared" si="76"/>
        <v>0.30540240000000002</v>
      </c>
      <c r="R378" s="239">
        <v>1</v>
      </c>
      <c r="S378" s="240">
        <f t="shared" si="79"/>
        <v>1.31</v>
      </c>
      <c r="T378" s="216" t="s">
        <v>48</v>
      </c>
      <c r="U378" s="196" t="str">
        <f t="shared" si="77"/>
        <v>1.31 Hrs</v>
      </c>
    </row>
    <row r="379" spans="3:21" s="185" customFormat="1" ht="20.25" customHeight="1">
      <c r="C379" s="198">
        <f t="shared" ref="C379:C380" si="84">D379</f>
        <v>379</v>
      </c>
      <c r="D379" s="203">
        <f t="shared" si="68"/>
        <v>379</v>
      </c>
      <c r="E379" s="207" t="s">
        <v>109</v>
      </c>
      <c r="F379" s="211">
        <f>D376</f>
        <v>376</v>
      </c>
      <c r="G379" s="206" t="s">
        <v>52</v>
      </c>
      <c r="H379" s="206"/>
      <c r="I379" s="208"/>
      <c r="J379" s="208"/>
      <c r="K379" s="234">
        <v>2</v>
      </c>
      <c r="L379" s="208" t="s">
        <v>81</v>
      </c>
      <c r="M379" s="217">
        <v>2</v>
      </c>
      <c r="N379" s="208" t="s">
        <v>81</v>
      </c>
      <c r="O379" s="218">
        <v>0.5</v>
      </c>
      <c r="P379" s="208" t="s">
        <v>112</v>
      </c>
      <c r="Q379" s="240">
        <f t="shared" si="76"/>
        <v>1</v>
      </c>
      <c r="R379" s="239">
        <v>1</v>
      </c>
      <c r="S379" s="240">
        <f t="shared" si="79"/>
        <v>2</v>
      </c>
      <c r="T379" s="216" t="s">
        <v>48</v>
      </c>
      <c r="U379" s="196" t="str">
        <f t="shared" si="77"/>
        <v>2 Hrs</v>
      </c>
    </row>
    <row r="380" spans="3:21" s="185" customFormat="1" ht="20.25" customHeight="1">
      <c r="C380" s="198">
        <f t="shared" si="84"/>
        <v>380</v>
      </c>
      <c r="D380" s="203">
        <f t="shared" si="68"/>
        <v>380</v>
      </c>
      <c r="E380" s="209" t="s">
        <v>374</v>
      </c>
      <c r="F380" s="210">
        <f>D379</f>
        <v>379</v>
      </c>
      <c r="G380" s="206"/>
      <c r="H380" s="206"/>
      <c r="I380" s="208"/>
      <c r="J380" s="208"/>
      <c r="K380" s="234"/>
      <c r="L380" s="208"/>
      <c r="M380" s="217"/>
      <c r="N380" s="208"/>
      <c r="O380" s="218"/>
      <c r="P380" s="208"/>
      <c r="Q380" s="240"/>
      <c r="R380" s="239"/>
      <c r="S380" s="240"/>
      <c r="T380" s="216"/>
      <c r="U380" s="196"/>
    </row>
    <row r="381" spans="3:21" s="185" customFormat="1" ht="20.25" customHeight="1">
      <c r="C381" s="198"/>
      <c r="D381" s="203">
        <f t="shared" si="68"/>
        <v>381</v>
      </c>
      <c r="E381" s="207" t="s">
        <v>372</v>
      </c>
      <c r="F381" s="211"/>
      <c r="G381" s="206" t="s">
        <v>61</v>
      </c>
      <c r="H381" s="206"/>
      <c r="I381" s="224">
        <v>18</v>
      </c>
      <c r="J381" s="208" t="str">
        <f>J378</f>
        <v>972 mm lip od</v>
      </c>
      <c r="K381" s="234">
        <v>1</v>
      </c>
      <c r="L381" s="208" t="s">
        <v>39</v>
      </c>
      <c r="M381" s="227">
        <f t="shared" ref="M381:M382" si="85">LEFT(J381,SEARCH(" ",J381,1)-1)*3.142*K381*0.001</f>
        <v>3.0540240000000001</v>
      </c>
      <c r="N381" s="208" t="s">
        <v>249</v>
      </c>
      <c r="O381" s="246">
        <f>VLOOKUP(I381,BM!$A$2:$X$104,6,FALSE)</f>
        <v>1</v>
      </c>
      <c r="P381" s="208" t="s">
        <v>112</v>
      </c>
      <c r="Q381" s="240">
        <f t="shared" si="76"/>
        <v>3.0540240000000001</v>
      </c>
      <c r="R381" s="239">
        <v>1</v>
      </c>
      <c r="S381" s="240">
        <f t="shared" si="79"/>
        <v>4.05</v>
      </c>
      <c r="T381" s="216" t="s">
        <v>48</v>
      </c>
      <c r="U381" s="196" t="str">
        <f t="shared" si="77"/>
        <v>4.05 Hrs</v>
      </c>
    </row>
    <row r="382" spans="3:21" s="185" customFormat="1" ht="20.25" customHeight="1">
      <c r="C382" s="198"/>
      <c r="D382" s="203">
        <f t="shared" si="68"/>
        <v>382</v>
      </c>
      <c r="E382" s="207" t="s">
        <v>372</v>
      </c>
      <c r="F382" s="211">
        <f t="shared" si="78"/>
        <v>381</v>
      </c>
      <c r="G382" s="206" t="s">
        <v>61</v>
      </c>
      <c r="H382" s="206"/>
      <c r="I382" s="224">
        <v>18</v>
      </c>
      <c r="J382" s="208" t="str">
        <f>J381</f>
        <v>972 mm lip od</v>
      </c>
      <c r="K382" s="234">
        <v>1</v>
      </c>
      <c r="L382" s="208" t="s">
        <v>39</v>
      </c>
      <c r="M382" s="227">
        <f t="shared" si="85"/>
        <v>3.0540240000000001</v>
      </c>
      <c r="N382" s="208" t="s">
        <v>249</v>
      </c>
      <c r="O382" s="246">
        <f>VLOOKUP(I382,BM!$A$2:$X$104,6,FALSE)</f>
        <v>1</v>
      </c>
      <c r="P382" s="208" t="s">
        <v>112</v>
      </c>
      <c r="Q382" s="240">
        <f t="shared" si="76"/>
        <v>3.0540240000000001</v>
      </c>
      <c r="R382" s="239">
        <v>1</v>
      </c>
      <c r="S382" s="240">
        <f t="shared" si="79"/>
        <v>4.05</v>
      </c>
      <c r="T382" s="216" t="s">
        <v>48</v>
      </c>
      <c r="U382" s="196" t="str">
        <f t="shared" si="77"/>
        <v>4.05 Hrs</v>
      </c>
    </row>
    <row r="383" spans="3:21" s="185" customFormat="1" ht="20.25" customHeight="1">
      <c r="C383" s="198"/>
      <c r="D383" s="203">
        <f t="shared" si="68"/>
        <v>383</v>
      </c>
      <c r="E383" s="207" t="s">
        <v>109</v>
      </c>
      <c r="F383" s="211">
        <f t="shared" si="78"/>
        <v>382</v>
      </c>
      <c r="G383" s="206"/>
      <c r="H383" s="206"/>
      <c r="I383" s="208"/>
      <c r="J383" s="208"/>
      <c r="K383" s="234">
        <v>1</v>
      </c>
      <c r="L383" s="208" t="s">
        <v>39</v>
      </c>
      <c r="M383" s="217">
        <v>2</v>
      </c>
      <c r="N383" s="208" t="s">
        <v>81</v>
      </c>
      <c r="O383" s="218">
        <v>0.5</v>
      </c>
      <c r="P383" s="208" t="s">
        <v>112</v>
      </c>
      <c r="Q383" s="240">
        <f t="shared" si="76"/>
        <v>1</v>
      </c>
      <c r="R383" s="239">
        <v>1</v>
      </c>
      <c r="S383" s="240">
        <f t="shared" si="79"/>
        <v>2</v>
      </c>
      <c r="T383" s="216" t="s">
        <v>48</v>
      </c>
      <c r="U383" s="196" t="str">
        <f t="shared" si="77"/>
        <v>2 Hrs</v>
      </c>
    </row>
    <row r="384" spans="3:21" s="185" customFormat="1" ht="20.25" customHeight="1">
      <c r="C384" s="198">
        <f>D384</f>
        <v>384</v>
      </c>
      <c r="D384" s="203">
        <f t="shared" si="68"/>
        <v>384</v>
      </c>
      <c r="E384" s="209" t="s">
        <v>375</v>
      </c>
      <c r="F384" s="210">
        <f>D380</f>
        <v>380</v>
      </c>
      <c r="G384" s="206"/>
      <c r="H384" s="206"/>
      <c r="I384" s="208"/>
      <c r="J384" s="208"/>
      <c r="K384" s="234"/>
      <c r="L384" s="208"/>
      <c r="M384" s="217"/>
      <c r="N384" s="208"/>
      <c r="O384" s="218"/>
      <c r="P384" s="208"/>
      <c r="Q384" s="240"/>
      <c r="R384" s="239"/>
      <c r="S384" s="240"/>
      <c r="T384" s="216"/>
      <c r="U384" s="196"/>
    </row>
    <row r="385" spans="3:21" s="185" customFormat="1" ht="20.25" customHeight="1">
      <c r="C385" s="198"/>
      <c r="D385" s="203">
        <f t="shared" si="68"/>
        <v>385</v>
      </c>
      <c r="E385" s="207" t="s">
        <v>372</v>
      </c>
      <c r="F385" s="211"/>
      <c r="G385" s="206" t="s">
        <v>299</v>
      </c>
      <c r="H385" s="206"/>
      <c r="I385" s="208"/>
      <c r="J385" s="234" t="s">
        <v>376</v>
      </c>
      <c r="K385" s="234">
        <v>1</v>
      </c>
      <c r="L385" s="208" t="s">
        <v>39</v>
      </c>
      <c r="M385" s="217">
        <v>1</v>
      </c>
      <c r="N385" s="208" t="s">
        <v>249</v>
      </c>
      <c r="O385" s="246">
        <f>VLOOKUP(J385,BM!$A$2:$X$104,11,FALSE)</f>
        <v>4</v>
      </c>
      <c r="P385" s="208" t="s">
        <v>112</v>
      </c>
      <c r="Q385" s="240">
        <f t="shared" si="76"/>
        <v>4</v>
      </c>
      <c r="R385" s="239">
        <v>1</v>
      </c>
      <c r="S385" s="240">
        <f t="shared" si="79"/>
        <v>5</v>
      </c>
      <c r="T385" s="216" t="s">
        <v>48</v>
      </c>
      <c r="U385" s="196" t="str">
        <f t="shared" si="77"/>
        <v>5 Hrs</v>
      </c>
    </row>
    <row r="386" spans="3:21" s="185" customFormat="1" ht="20.25" customHeight="1">
      <c r="C386" s="198"/>
      <c r="D386" s="203">
        <f t="shared" si="68"/>
        <v>386</v>
      </c>
      <c r="E386" s="207" t="s">
        <v>372</v>
      </c>
      <c r="F386" s="211">
        <f t="shared" si="78"/>
        <v>385</v>
      </c>
      <c r="G386" s="206" t="s">
        <v>299</v>
      </c>
      <c r="H386" s="206"/>
      <c r="I386" s="208"/>
      <c r="J386" s="234" t="s">
        <v>376</v>
      </c>
      <c r="K386" s="234">
        <v>1</v>
      </c>
      <c r="L386" s="208" t="s">
        <v>39</v>
      </c>
      <c r="M386" s="217">
        <v>1</v>
      </c>
      <c r="N386" s="208" t="s">
        <v>249</v>
      </c>
      <c r="O386" s="246">
        <f>VLOOKUP(J386,BM!$A$2:$X$104,11,FALSE)</f>
        <v>4</v>
      </c>
      <c r="P386" s="208" t="s">
        <v>112</v>
      </c>
      <c r="Q386" s="240">
        <f t="shared" si="76"/>
        <v>4</v>
      </c>
      <c r="R386" s="239">
        <v>1</v>
      </c>
      <c r="S386" s="240">
        <f t="shared" si="79"/>
        <v>5</v>
      </c>
      <c r="T386" s="216" t="s">
        <v>48</v>
      </c>
      <c r="U386" s="196" t="str">
        <f t="shared" si="77"/>
        <v>5 Hrs</v>
      </c>
    </row>
    <row r="387" spans="3:21" s="185" customFormat="1" ht="20.25" customHeight="1">
      <c r="C387" s="198"/>
      <c r="D387" s="203">
        <f t="shared" ref="D387:D450" si="86">D386+1</f>
        <v>387</v>
      </c>
      <c r="E387" s="207" t="s">
        <v>377</v>
      </c>
      <c r="F387" s="211">
        <f t="shared" si="78"/>
        <v>386</v>
      </c>
      <c r="G387" s="206"/>
      <c r="H387" s="206"/>
      <c r="I387" s="208"/>
      <c r="J387" s="208"/>
      <c r="K387" s="234">
        <v>2</v>
      </c>
      <c r="L387" s="208" t="s">
        <v>39</v>
      </c>
      <c r="M387" s="217">
        <v>1</v>
      </c>
      <c r="N387" s="208" t="s">
        <v>81</v>
      </c>
      <c r="O387" s="218">
        <v>1</v>
      </c>
      <c r="P387" s="208" t="s">
        <v>112</v>
      </c>
      <c r="Q387" s="240">
        <f t="shared" si="76"/>
        <v>1</v>
      </c>
      <c r="R387" s="239">
        <v>1</v>
      </c>
      <c r="S387" s="240">
        <f t="shared" si="79"/>
        <v>2</v>
      </c>
      <c r="T387" s="216" t="s">
        <v>48</v>
      </c>
      <c r="U387" s="196" t="str">
        <f t="shared" si="77"/>
        <v>2 Hrs</v>
      </c>
    </row>
    <row r="388" spans="3:21" s="185" customFormat="1" ht="20.25" customHeight="1">
      <c r="C388" s="198">
        <f>D388</f>
        <v>388</v>
      </c>
      <c r="D388" s="203">
        <f t="shared" si="86"/>
        <v>388</v>
      </c>
      <c r="E388" s="209" t="s">
        <v>378</v>
      </c>
      <c r="F388" s="210">
        <f>D384</f>
        <v>384</v>
      </c>
      <c r="G388" s="206"/>
      <c r="H388" s="206"/>
      <c r="I388" s="208"/>
      <c r="J388" s="208"/>
      <c r="K388" s="234"/>
      <c r="L388" s="208"/>
      <c r="M388" s="217"/>
      <c r="N388" s="208"/>
      <c r="O388" s="218"/>
      <c r="P388" s="208"/>
      <c r="Q388" s="240"/>
      <c r="R388" s="239"/>
      <c r="S388" s="240"/>
      <c r="T388" s="216"/>
      <c r="U388" s="196"/>
    </row>
    <row r="389" spans="3:21" s="185" customFormat="1" ht="20.25" customHeight="1">
      <c r="C389" s="198"/>
      <c r="D389" s="203">
        <f t="shared" si="86"/>
        <v>389</v>
      </c>
      <c r="E389" s="207" t="s">
        <v>372</v>
      </c>
      <c r="F389" s="211"/>
      <c r="G389" s="206" t="s">
        <v>44</v>
      </c>
      <c r="H389" s="206"/>
      <c r="I389" s="208"/>
      <c r="J389" s="234" t="s">
        <v>376</v>
      </c>
      <c r="K389" s="234">
        <v>1</v>
      </c>
      <c r="L389" s="208" t="s">
        <v>39</v>
      </c>
      <c r="M389" s="217">
        <v>1</v>
      </c>
      <c r="N389" s="208" t="s">
        <v>48</v>
      </c>
      <c r="O389" s="218">
        <v>1</v>
      </c>
      <c r="P389" s="208" t="s">
        <v>112</v>
      </c>
      <c r="Q389" s="240">
        <f t="shared" si="76"/>
        <v>1</v>
      </c>
      <c r="R389" s="239">
        <v>1</v>
      </c>
      <c r="S389" s="240">
        <f t="shared" si="79"/>
        <v>2</v>
      </c>
      <c r="T389" s="216" t="s">
        <v>48</v>
      </c>
      <c r="U389" s="196" t="str">
        <f t="shared" si="77"/>
        <v>2 Hrs</v>
      </c>
    </row>
    <row r="390" spans="3:21" s="185" customFormat="1" ht="20.25" customHeight="1">
      <c r="C390" s="198"/>
      <c r="D390" s="203">
        <f t="shared" si="86"/>
        <v>390</v>
      </c>
      <c r="E390" s="207" t="s">
        <v>372</v>
      </c>
      <c r="F390" s="211">
        <f t="shared" si="78"/>
        <v>389</v>
      </c>
      <c r="G390" s="206" t="s">
        <v>44</v>
      </c>
      <c r="H390" s="206"/>
      <c r="I390" s="208"/>
      <c r="J390" s="234" t="s">
        <v>376</v>
      </c>
      <c r="K390" s="234">
        <v>1</v>
      </c>
      <c r="L390" s="208" t="s">
        <v>39</v>
      </c>
      <c r="M390" s="217">
        <v>1</v>
      </c>
      <c r="N390" s="208" t="s">
        <v>48</v>
      </c>
      <c r="O390" s="218">
        <v>1</v>
      </c>
      <c r="P390" s="208" t="s">
        <v>112</v>
      </c>
      <c r="Q390" s="240">
        <f t="shared" si="76"/>
        <v>1</v>
      </c>
      <c r="R390" s="239">
        <v>1</v>
      </c>
      <c r="S390" s="240">
        <f t="shared" si="79"/>
        <v>2</v>
      </c>
      <c r="T390" s="216" t="s">
        <v>48</v>
      </c>
      <c r="U390" s="196" t="str">
        <f t="shared" si="77"/>
        <v>2 Hrs</v>
      </c>
    </row>
    <row r="391" spans="3:21" s="185" customFormat="1" ht="20.25" customHeight="1">
      <c r="C391" s="198"/>
      <c r="D391" s="203">
        <f t="shared" si="86"/>
        <v>391</v>
      </c>
      <c r="E391" s="207" t="s">
        <v>377</v>
      </c>
      <c r="F391" s="211">
        <f t="shared" si="78"/>
        <v>390</v>
      </c>
      <c r="G391" s="206" t="s">
        <v>44</v>
      </c>
      <c r="H391" s="206"/>
      <c r="I391" s="208"/>
      <c r="J391" s="234" t="s">
        <v>376</v>
      </c>
      <c r="K391" s="234">
        <v>2</v>
      </c>
      <c r="L391" s="208" t="s">
        <v>39</v>
      </c>
      <c r="M391" s="217">
        <v>1</v>
      </c>
      <c r="N391" s="208" t="s">
        <v>48</v>
      </c>
      <c r="O391" s="218">
        <v>1</v>
      </c>
      <c r="P391" s="208" t="s">
        <v>112</v>
      </c>
      <c r="Q391" s="240">
        <f t="shared" si="76"/>
        <v>1</v>
      </c>
      <c r="R391" s="239">
        <v>1</v>
      </c>
      <c r="S391" s="240">
        <f t="shared" si="79"/>
        <v>2</v>
      </c>
      <c r="T391" s="216" t="s">
        <v>48</v>
      </c>
      <c r="U391" s="196" t="str">
        <f t="shared" si="77"/>
        <v>2 Hrs</v>
      </c>
    </row>
    <row r="392" spans="3:21" s="185" customFormat="1" ht="20.25" customHeight="1">
      <c r="C392" s="198">
        <f>D392</f>
        <v>392</v>
      </c>
      <c r="D392" s="203">
        <f t="shared" si="86"/>
        <v>392</v>
      </c>
      <c r="E392" s="209" t="s">
        <v>379</v>
      </c>
      <c r="F392" s="210">
        <f>D388</f>
        <v>388</v>
      </c>
      <c r="G392" s="206"/>
      <c r="H392" s="206"/>
      <c r="I392" s="208"/>
      <c r="J392" s="208"/>
      <c r="K392" s="234"/>
      <c r="L392" s="208"/>
      <c r="M392" s="217"/>
      <c r="N392" s="208"/>
      <c r="O392" s="218"/>
      <c r="P392" s="208"/>
      <c r="Q392" s="240"/>
      <c r="R392" s="239"/>
      <c r="S392" s="240"/>
      <c r="T392" s="216"/>
      <c r="U392" s="196"/>
    </row>
    <row r="393" spans="3:21" s="185" customFormat="1" ht="20.25" customHeight="1">
      <c r="C393" s="198"/>
      <c r="D393" s="203">
        <f t="shared" si="86"/>
        <v>393</v>
      </c>
      <c r="E393" s="207" t="s">
        <v>380</v>
      </c>
      <c r="F393" s="211"/>
      <c r="G393" s="206" t="s">
        <v>37</v>
      </c>
      <c r="H393" s="206"/>
      <c r="I393" s="208"/>
      <c r="J393" s="208"/>
      <c r="K393" s="234">
        <v>1</v>
      </c>
      <c r="L393" s="208" t="s">
        <v>39</v>
      </c>
      <c r="M393" s="217">
        <v>1</v>
      </c>
      <c r="N393" s="208" t="s">
        <v>81</v>
      </c>
      <c r="O393" s="218">
        <v>1</v>
      </c>
      <c r="P393" s="208" t="s">
        <v>162</v>
      </c>
      <c r="Q393" s="240">
        <f t="shared" si="76"/>
        <v>1</v>
      </c>
      <c r="R393" s="239"/>
      <c r="S393" s="240">
        <f t="shared" si="79"/>
        <v>1</v>
      </c>
      <c r="T393" s="216" t="s">
        <v>48</v>
      </c>
      <c r="U393" s="196" t="str">
        <f t="shared" si="77"/>
        <v>1 Hrs</v>
      </c>
    </row>
    <row r="394" spans="3:21" s="185" customFormat="1" ht="20.25" customHeight="1">
      <c r="C394" s="198"/>
      <c r="D394" s="203">
        <f t="shared" si="86"/>
        <v>394</v>
      </c>
      <c r="E394" s="207" t="s">
        <v>381</v>
      </c>
      <c r="F394" s="211">
        <f t="shared" si="78"/>
        <v>393</v>
      </c>
      <c r="G394" s="206" t="s">
        <v>115</v>
      </c>
      <c r="H394" s="206"/>
      <c r="I394" s="224">
        <v>12</v>
      </c>
      <c r="J394" s="208" t="str">
        <f>J382</f>
        <v>972 mm lip od</v>
      </c>
      <c r="K394" s="234">
        <v>1</v>
      </c>
      <c r="L394" s="208" t="s">
        <v>39</v>
      </c>
      <c r="M394" s="227">
        <f t="shared" ref="M394:M400" si="87">LEFT(J394,SEARCH(" ",J394,1)-1)*3.142*K394*0.001</f>
        <v>3.0540240000000001</v>
      </c>
      <c r="N394" s="208" t="s">
        <v>249</v>
      </c>
      <c r="O394" s="246">
        <f>VLOOKUP(I394,BM!$A$2:$X$104,17,FALSE)</f>
        <v>2.5</v>
      </c>
      <c r="P394" s="208" t="s">
        <v>112</v>
      </c>
      <c r="Q394" s="240">
        <f t="shared" si="76"/>
        <v>7.6350600000000002</v>
      </c>
      <c r="R394" s="239">
        <v>1</v>
      </c>
      <c r="S394" s="240">
        <f t="shared" si="79"/>
        <v>8.64</v>
      </c>
      <c r="T394" s="216" t="s">
        <v>48</v>
      </c>
      <c r="U394" s="196" t="str">
        <f t="shared" si="77"/>
        <v>8.64 Hrs</v>
      </c>
    </row>
    <row r="395" spans="3:21" s="185" customFormat="1" ht="20.25" customHeight="1">
      <c r="C395" s="198"/>
      <c r="D395" s="203">
        <f t="shared" si="86"/>
        <v>395</v>
      </c>
      <c r="E395" s="207" t="s">
        <v>382</v>
      </c>
      <c r="F395" s="211">
        <f t="shared" si="78"/>
        <v>394</v>
      </c>
      <c r="G395" s="206" t="s">
        <v>115</v>
      </c>
      <c r="H395" s="206"/>
      <c r="I395" s="224">
        <v>12</v>
      </c>
      <c r="J395" s="208" t="str">
        <f t="shared" ref="J395:J400" si="88">J394</f>
        <v>972 mm lip od</v>
      </c>
      <c r="K395" s="234">
        <v>1</v>
      </c>
      <c r="L395" s="208" t="s">
        <v>39</v>
      </c>
      <c r="M395" s="227">
        <f t="shared" si="87"/>
        <v>3.0540240000000001</v>
      </c>
      <c r="N395" s="208" t="s">
        <v>249</v>
      </c>
      <c r="O395" s="246">
        <f>VLOOKUP(I395,BM!$A$2:$X$104,17,FALSE)</f>
        <v>2.5</v>
      </c>
      <c r="P395" s="208" t="s">
        <v>112</v>
      </c>
      <c r="Q395" s="240">
        <f t="shared" si="76"/>
        <v>7.6350600000000002</v>
      </c>
      <c r="R395" s="239">
        <v>1</v>
      </c>
      <c r="S395" s="240">
        <f t="shared" si="79"/>
        <v>8.64</v>
      </c>
      <c r="T395" s="216" t="s">
        <v>48</v>
      </c>
      <c r="U395" s="196" t="str">
        <f t="shared" si="77"/>
        <v>8.64 Hrs</v>
      </c>
    </row>
    <row r="396" spans="3:21" s="185" customFormat="1" ht="20.25" customHeight="1">
      <c r="C396" s="198"/>
      <c r="D396" s="203">
        <f t="shared" si="86"/>
        <v>396</v>
      </c>
      <c r="E396" s="207" t="s">
        <v>383</v>
      </c>
      <c r="F396" s="211">
        <f t="shared" si="78"/>
        <v>395</v>
      </c>
      <c r="G396" s="206" t="s">
        <v>115</v>
      </c>
      <c r="H396" s="206"/>
      <c r="I396" s="224">
        <v>12</v>
      </c>
      <c r="J396" s="208" t="str">
        <f t="shared" si="88"/>
        <v>972 mm lip od</v>
      </c>
      <c r="K396" s="234">
        <v>1</v>
      </c>
      <c r="L396" s="208" t="s">
        <v>39</v>
      </c>
      <c r="M396" s="227">
        <f t="shared" si="87"/>
        <v>3.0540240000000001</v>
      </c>
      <c r="N396" s="208" t="s">
        <v>249</v>
      </c>
      <c r="O396" s="246">
        <f>VLOOKUP(I396,BM!$A$2:$X$104,17,FALSE)</f>
        <v>2.5</v>
      </c>
      <c r="P396" s="208" t="s">
        <v>112</v>
      </c>
      <c r="Q396" s="240">
        <f t="shared" si="76"/>
        <v>7.6350600000000002</v>
      </c>
      <c r="R396" s="239">
        <v>1</v>
      </c>
      <c r="S396" s="240">
        <f t="shared" si="79"/>
        <v>8.64</v>
      </c>
      <c r="T396" s="216" t="s">
        <v>48</v>
      </c>
      <c r="U396" s="196" t="str">
        <f t="shared" si="77"/>
        <v>8.64 Hrs</v>
      </c>
    </row>
    <row r="397" spans="3:21" s="185" customFormat="1" ht="20.25" customHeight="1">
      <c r="C397" s="198"/>
      <c r="D397" s="203">
        <f t="shared" si="86"/>
        <v>397</v>
      </c>
      <c r="E397" s="207" t="s">
        <v>384</v>
      </c>
      <c r="F397" s="211">
        <f t="shared" si="78"/>
        <v>396</v>
      </c>
      <c r="G397" s="206" t="s">
        <v>44</v>
      </c>
      <c r="H397" s="206"/>
      <c r="I397" s="224">
        <v>12</v>
      </c>
      <c r="J397" s="208" t="str">
        <f t="shared" si="88"/>
        <v>972 mm lip od</v>
      </c>
      <c r="K397" s="234">
        <v>2</v>
      </c>
      <c r="L397" s="208" t="s">
        <v>39</v>
      </c>
      <c r="M397" s="227">
        <f t="shared" si="87"/>
        <v>6.1080480000000001</v>
      </c>
      <c r="N397" s="208" t="s">
        <v>249</v>
      </c>
      <c r="O397" s="218">
        <v>1</v>
      </c>
      <c r="P397" s="208" t="s">
        <v>112</v>
      </c>
      <c r="Q397" s="240">
        <f t="shared" si="76"/>
        <v>6.1080480000000001</v>
      </c>
      <c r="R397" s="239">
        <v>1</v>
      </c>
      <c r="S397" s="240">
        <f t="shared" si="79"/>
        <v>7.11</v>
      </c>
      <c r="T397" s="216" t="s">
        <v>48</v>
      </c>
      <c r="U397" s="196" t="str">
        <f t="shared" si="77"/>
        <v>7.11 Hrs</v>
      </c>
    </row>
    <row r="398" spans="3:21" s="185" customFormat="1" ht="20.25" customHeight="1">
      <c r="C398" s="198"/>
      <c r="D398" s="203">
        <f t="shared" si="86"/>
        <v>398</v>
      </c>
      <c r="E398" s="207" t="s">
        <v>385</v>
      </c>
      <c r="F398" s="211">
        <f t="shared" si="78"/>
        <v>397</v>
      </c>
      <c r="G398" s="206" t="s">
        <v>386</v>
      </c>
      <c r="H398" s="206"/>
      <c r="I398" s="224">
        <v>8</v>
      </c>
      <c r="J398" s="208" t="str">
        <f t="shared" si="88"/>
        <v>972 mm lip od</v>
      </c>
      <c r="K398" s="234">
        <v>1</v>
      </c>
      <c r="L398" s="208" t="s">
        <v>39</v>
      </c>
      <c r="M398" s="227">
        <f t="shared" si="87"/>
        <v>3.0540240000000001</v>
      </c>
      <c r="N398" s="208" t="s">
        <v>249</v>
      </c>
      <c r="O398" s="246">
        <f>VLOOKUP(I398,BM!$A$2:$X$104,17,FALSE)</f>
        <v>1.36</v>
      </c>
      <c r="P398" s="208" t="s">
        <v>112</v>
      </c>
      <c r="Q398" s="240">
        <f t="shared" si="76"/>
        <v>4.1534726400000004</v>
      </c>
      <c r="R398" s="239">
        <v>1</v>
      </c>
      <c r="S398" s="240">
        <f t="shared" si="79"/>
        <v>5.15</v>
      </c>
      <c r="T398" s="216" t="s">
        <v>48</v>
      </c>
      <c r="U398" s="196" t="str">
        <f t="shared" si="77"/>
        <v>5.15 Hrs</v>
      </c>
    </row>
    <row r="399" spans="3:21" s="185" customFormat="1" ht="20.25" customHeight="1">
      <c r="C399" s="198"/>
      <c r="D399" s="203">
        <f t="shared" si="86"/>
        <v>399</v>
      </c>
      <c r="E399" s="207" t="s">
        <v>387</v>
      </c>
      <c r="F399" s="211">
        <f t="shared" si="78"/>
        <v>398</v>
      </c>
      <c r="G399" s="206" t="s">
        <v>386</v>
      </c>
      <c r="H399" s="206"/>
      <c r="I399" s="224">
        <v>8</v>
      </c>
      <c r="J399" s="208" t="str">
        <f t="shared" si="88"/>
        <v>972 mm lip od</v>
      </c>
      <c r="K399" s="234">
        <v>1</v>
      </c>
      <c r="L399" s="208" t="s">
        <v>39</v>
      </c>
      <c r="M399" s="227">
        <f t="shared" si="87"/>
        <v>3.0540240000000001</v>
      </c>
      <c r="N399" s="208" t="s">
        <v>249</v>
      </c>
      <c r="O399" s="246">
        <f>VLOOKUP(I399,BM!$A$2:$X$104,17,FALSE)</f>
        <v>1.36</v>
      </c>
      <c r="P399" s="208" t="s">
        <v>112</v>
      </c>
      <c r="Q399" s="240">
        <f t="shared" si="76"/>
        <v>4.1534726400000004</v>
      </c>
      <c r="R399" s="239">
        <v>1</v>
      </c>
      <c r="S399" s="240">
        <f t="shared" si="79"/>
        <v>5.15</v>
      </c>
      <c r="T399" s="216" t="s">
        <v>48</v>
      </c>
      <c r="U399" s="196" t="str">
        <f t="shared" si="77"/>
        <v>5.15 Hrs</v>
      </c>
    </row>
    <row r="400" spans="3:21" s="185" customFormat="1" ht="20.25" customHeight="1">
      <c r="C400" s="198"/>
      <c r="D400" s="203">
        <f t="shared" si="86"/>
        <v>400</v>
      </c>
      <c r="E400" s="207" t="s">
        <v>388</v>
      </c>
      <c r="F400" s="211">
        <f t="shared" si="78"/>
        <v>399</v>
      </c>
      <c r="G400" s="206" t="s">
        <v>386</v>
      </c>
      <c r="H400" s="206"/>
      <c r="I400" s="224">
        <v>8</v>
      </c>
      <c r="J400" s="208" t="str">
        <f t="shared" si="88"/>
        <v>972 mm lip od</v>
      </c>
      <c r="K400" s="234">
        <v>0</v>
      </c>
      <c r="L400" s="208" t="s">
        <v>39</v>
      </c>
      <c r="M400" s="227">
        <f t="shared" si="87"/>
        <v>0</v>
      </c>
      <c r="N400" s="208" t="s">
        <v>249</v>
      </c>
      <c r="O400" s="246">
        <f>VLOOKUP(I400,BM!$A$2:$X$104,17,FALSE)</f>
        <v>1.36</v>
      </c>
      <c r="P400" s="208" t="s">
        <v>112</v>
      </c>
      <c r="Q400" s="240">
        <f t="shared" si="76"/>
        <v>0</v>
      </c>
      <c r="R400" s="239">
        <v>1</v>
      </c>
      <c r="S400" s="240">
        <f t="shared" si="79"/>
        <v>1</v>
      </c>
      <c r="T400" s="216" t="s">
        <v>48</v>
      </c>
      <c r="U400" s="196" t="str">
        <f t="shared" si="77"/>
        <v>1 Hrs</v>
      </c>
    </row>
    <row r="401" spans="3:21" s="185" customFormat="1" ht="20.25" customHeight="1">
      <c r="C401" s="198">
        <f>D401</f>
        <v>401</v>
      </c>
      <c r="D401" s="203">
        <f t="shared" si="86"/>
        <v>401</v>
      </c>
      <c r="E401" s="209" t="s">
        <v>389</v>
      </c>
      <c r="F401" s="210">
        <f>D392</f>
        <v>392</v>
      </c>
      <c r="G401" s="206"/>
      <c r="H401" s="206"/>
      <c r="I401" s="208"/>
      <c r="J401" s="208"/>
      <c r="K401" s="234"/>
      <c r="L401" s="208"/>
      <c r="M401" s="217"/>
      <c r="N401" s="208"/>
      <c r="O401" s="218"/>
      <c r="P401" s="208"/>
      <c r="Q401" s="240"/>
      <c r="R401" s="239"/>
      <c r="S401" s="240"/>
      <c r="T401" s="216"/>
      <c r="U401" s="196"/>
    </row>
    <row r="402" spans="3:21" s="185" customFormat="1" ht="20.25" customHeight="1">
      <c r="C402" s="198"/>
      <c r="D402" s="203">
        <f t="shared" si="86"/>
        <v>402</v>
      </c>
      <c r="E402" s="207" t="s">
        <v>390</v>
      </c>
      <c r="F402" s="211"/>
      <c r="G402" s="206" t="s">
        <v>111</v>
      </c>
      <c r="H402" s="206"/>
      <c r="I402" s="224">
        <v>25</v>
      </c>
      <c r="J402" s="225" t="s">
        <v>391</v>
      </c>
      <c r="K402" s="234">
        <v>2</v>
      </c>
      <c r="L402" s="208" t="s">
        <v>39</v>
      </c>
      <c r="M402" s="227">
        <f>LEFT(J402,SEARCH(" ",J402,1)-1)*3.142*K402*2*0.001</f>
        <v>20.058527999999999</v>
      </c>
      <c r="N402" s="208" t="s">
        <v>81</v>
      </c>
      <c r="O402" s="218">
        <v>0.5</v>
      </c>
      <c r="P402" s="208" t="s">
        <v>162</v>
      </c>
      <c r="Q402" s="240">
        <f t="shared" si="76"/>
        <v>10.029264</v>
      </c>
      <c r="R402" s="239">
        <v>1</v>
      </c>
      <c r="S402" s="240">
        <f t="shared" si="79"/>
        <v>11.03</v>
      </c>
      <c r="T402" s="216" t="s">
        <v>48</v>
      </c>
      <c r="U402" s="196" t="str">
        <f t="shared" si="77"/>
        <v>11.03 Hrs</v>
      </c>
    </row>
    <row r="403" spans="3:21" s="185" customFormat="1" ht="20.25" customHeight="1">
      <c r="C403" s="198"/>
      <c r="D403" s="203">
        <f t="shared" si="86"/>
        <v>403</v>
      </c>
      <c r="E403" s="207" t="s">
        <v>392</v>
      </c>
      <c r="F403" s="211">
        <f t="shared" si="78"/>
        <v>402</v>
      </c>
      <c r="G403" s="206" t="s">
        <v>156</v>
      </c>
      <c r="H403" s="206"/>
      <c r="I403" s="224">
        <v>12</v>
      </c>
      <c r="J403" s="208" t="str">
        <f>J402</f>
        <v>1596 mm od</v>
      </c>
      <c r="K403" s="234">
        <v>2</v>
      </c>
      <c r="L403" s="208" t="s">
        <v>249</v>
      </c>
      <c r="M403" s="227">
        <f>LEFT(J403,SEARCH(" ",J403,1)-1)*3.142*K403*2*0.001</f>
        <v>20.058527999999999</v>
      </c>
      <c r="N403" s="208" t="s">
        <v>249</v>
      </c>
      <c r="O403" s="246">
        <f>VLOOKUP(I403,BM!$A$2:$X$104,22,FALSE)</f>
        <v>1.6</v>
      </c>
      <c r="P403" s="208" t="s">
        <v>162</v>
      </c>
      <c r="Q403" s="240">
        <f t="shared" si="76"/>
        <v>32.0936448</v>
      </c>
      <c r="R403" s="239">
        <v>1</v>
      </c>
      <c r="S403" s="240">
        <f t="shared" si="79"/>
        <v>33.090000000000003</v>
      </c>
      <c r="T403" s="216" t="s">
        <v>48</v>
      </c>
      <c r="U403" s="196" t="str">
        <f t="shared" si="77"/>
        <v>33.09 Hrs</v>
      </c>
    </row>
    <row r="404" spans="3:21" s="185" customFormat="1" ht="20.25" customHeight="1">
      <c r="C404" s="198"/>
      <c r="D404" s="203">
        <f t="shared" si="86"/>
        <v>404</v>
      </c>
      <c r="E404" s="207" t="s">
        <v>393</v>
      </c>
      <c r="F404" s="211">
        <f t="shared" si="78"/>
        <v>403</v>
      </c>
      <c r="G404" s="206" t="s">
        <v>394</v>
      </c>
      <c r="H404" s="206"/>
      <c r="I404" s="208"/>
      <c r="J404" s="211" t="str">
        <f>J403</f>
        <v>1596 mm od</v>
      </c>
      <c r="K404" s="234">
        <v>2</v>
      </c>
      <c r="L404" s="208" t="s">
        <v>81</v>
      </c>
      <c r="M404" s="217">
        <f>K404</f>
        <v>2</v>
      </c>
      <c r="N404" s="208" t="s">
        <v>81</v>
      </c>
      <c r="O404" s="218">
        <v>8</v>
      </c>
      <c r="P404" s="208" t="s">
        <v>162</v>
      </c>
      <c r="Q404" s="240">
        <f t="shared" si="76"/>
        <v>16</v>
      </c>
      <c r="R404" s="239">
        <v>1</v>
      </c>
      <c r="S404" s="240">
        <f t="shared" si="79"/>
        <v>17</v>
      </c>
      <c r="T404" s="216" t="s">
        <v>48</v>
      </c>
      <c r="U404" s="196" t="str">
        <f t="shared" si="77"/>
        <v>17 Hrs</v>
      </c>
    </row>
    <row r="405" spans="3:21" s="185" customFormat="1" ht="20.25" customHeight="1">
      <c r="C405" s="198"/>
      <c r="D405" s="203">
        <f t="shared" si="86"/>
        <v>405</v>
      </c>
      <c r="E405" s="207" t="s">
        <v>395</v>
      </c>
      <c r="F405" s="211">
        <f t="shared" si="78"/>
        <v>404</v>
      </c>
      <c r="G405" s="206" t="s">
        <v>396</v>
      </c>
      <c r="H405" s="206"/>
      <c r="I405" s="208"/>
      <c r="J405" s="211" t="str">
        <f>J404</f>
        <v>1596 mm od</v>
      </c>
      <c r="K405" s="234">
        <v>2</v>
      </c>
      <c r="L405" s="208" t="s">
        <v>81</v>
      </c>
      <c r="M405" s="217">
        <f>K405</f>
        <v>2</v>
      </c>
      <c r="N405" s="208" t="s">
        <v>81</v>
      </c>
      <c r="O405" s="218">
        <v>6</v>
      </c>
      <c r="P405" s="208" t="s">
        <v>162</v>
      </c>
      <c r="Q405" s="240">
        <f t="shared" si="76"/>
        <v>12</v>
      </c>
      <c r="R405" s="239">
        <v>1</v>
      </c>
      <c r="S405" s="240">
        <f t="shared" si="79"/>
        <v>13</v>
      </c>
      <c r="T405" s="216" t="s">
        <v>48</v>
      </c>
      <c r="U405" s="196" t="str">
        <f t="shared" si="77"/>
        <v>13 Hrs</v>
      </c>
    </row>
    <row r="406" spans="3:21" s="185" customFormat="1" ht="20.25" customHeight="1">
      <c r="C406" s="198"/>
      <c r="D406" s="203">
        <f t="shared" si="86"/>
        <v>406</v>
      </c>
      <c r="E406" s="207" t="s">
        <v>397</v>
      </c>
      <c r="F406" s="211">
        <f t="shared" si="78"/>
        <v>405</v>
      </c>
      <c r="G406" s="206" t="s">
        <v>156</v>
      </c>
      <c r="H406" s="206"/>
      <c r="I406" s="224">
        <v>12</v>
      </c>
      <c r="J406" s="208" t="s">
        <v>398</v>
      </c>
      <c r="K406" s="234">
        <v>1</v>
      </c>
      <c r="L406" s="208" t="s">
        <v>81</v>
      </c>
      <c r="M406" s="235">
        <f>(300*16+1536*3.142*360^-1*120*2)*2*0.001</f>
        <v>16.034815999999999</v>
      </c>
      <c r="N406" s="208" t="s">
        <v>249</v>
      </c>
      <c r="O406" s="246">
        <f>VLOOKUP(I406,BM!$A$2:$X$104,22,FALSE)</f>
        <v>1.6</v>
      </c>
      <c r="P406" s="208" t="s">
        <v>162</v>
      </c>
      <c r="Q406" s="240">
        <f t="shared" si="76"/>
        <v>25.655705600000001</v>
      </c>
      <c r="R406" s="239">
        <v>1</v>
      </c>
      <c r="S406" s="240">
        <f t="shared" si="79"/>
        <v>26.66</v>
      </c>
      <c r="T406" s="216" t="s">
        <v>48</v>
      </c>
      <c r="U406" s="196" t="str">
        <f t="shared" si="77"/>
        <v>26.66 Hrs</v>
      </c>
    </row>
    <row r="407" spans="3:21" s="185" customFormat="1" ht="20.25" customHeight="1">
      <c r="C407" s="198"/>
      <c r="D407" s="203">
        <f t="shared" si="86"/>
        <v>407</v>
      </c>
      <c r="E407" s="207" t="s">
        <v>399</v>
      </c>
      <c r="F407" s="211">
        <f t="shared" si="78"/>
        <v>406</v>
      </c>
      <c r="G407" s="206" t="s">
        <v>149</v>
      </c>
      <c r="H407" s="206"/>
      <c r="I407" s="208"/>
      <c r="J407" s="208"/>
      <c r="K407" s="234">
        <v>1</v>
      </c>
      <c r="L407" s="208" t="s">
        <v>39</v>
      </c>
      <c r="M407" s="217">
        <v>1</v>
      </c>
      <c r="N407" s="208" t="s">
        <v>81</v>
      </c>
      <c r="O407" s="218">
        <v>8</v>
      </c>
      <c r="P407" s="208" t="s">
        <v>162</v>
      </c>
      <c r="Q407" s="240">
        <f t="shared" si="76"/>
        <v>8</v>
      </c>
      <c r="R407" s="239">
        <v>1</v>
      </c>
      <c r="S407" s="240">
        <f t="shared" si="79"/>
        <v>9</v>
      </c>
      <c r="T407" s="216" t="s">
        <v>48</v>
      </c>
      <c r="U407" s="196" t="str">
        <f t="shared" si="77"/>
        <v>9 Hrs</v>
      </c>
    </row>
    <row r="408" spans="3:21" s="185" customFormat="1" ht="20.25" customHeight="1">
      <c r="C408" s="198">
        <f>D408</f>
        <v>408</v>
      </c>
      <c r="D408" s="203">
        <f t="shared" si="86"/>
        <v>408</v>
      </c>
      <c r="E408" s="209" t="s">
        <v>400</v>
      </c>
      <c r="F408" s="210">
        <f>D401</f>
        <v>401</v>
      </c>
      <c r="G408" s="206"/>
      <c r="H408" s="206"/>
      <c r="I408" s="208"/>
      <c r="J408" s="208"/>
      <c r="K408" s="234"/>
      <c r="L408" s="208"/>
      <c r="M408" s="217"/>
      <c r="N408" s="208"/>
      <c r="O408" s="218"/>
      <c r="P408" s="208"/>
      <c r="Q408" s="240"/>
      <c r="R408" s="239"/>
      <c r="S408" s="240"/>
      <c r="T408" s="216"/>
      <c r="U408" s="196"/>
    </row>
    <row r="409" spans="3:21" s="185" customFormat="1" ht="20.25" customHeight="1">
      <c r="C409" s="198"/>
      <c r="D409" s="203">
        <f t="shared" si="86"/>
        <v>409</v>
      </c>
      <c r="E409" s="207" t="s">
        <v>401</v>
      </c>
      <c r="F409" s="211"/>
      <c r="G409" s="206" t="s">
        <v>402</v>
      </c>
      <c r="H409" s="206"/>
      <c r="I409" s="208"/>
      <c r="J409" s="208"/>
      <c r="K409" s="234">
        <v>1</v>
      </c>
      <c r="L409" s="208" t="s">
        <v>39</v>
      </c>
      <c r="M409" s="217">
        <v>1</v>
      </c>
      <c r="N409" s="208" t="s">
        <v>81</v>
      </c>
      <c r="O409" s="218">
        <v>4</v>
      </c>
      <c r="P409" s="208" t="s">
        <v>162</v>
      </c>
      <c r="Q409" s="240">
        <f t="shared" si="76"/>
        <v>4</v>
      </c>
      <c r="R409" s="239">
        <v>1</v>
      </c>
      <c r="S409" s="240">
        <f t="shared" si="79"/>
        <v>5</v>
      </c>
      <c r="T409" s="216" t="s">
        <v>48</v>
      </c>
      <c r="U409" s="196" t="str">
        <f t="shared" si="77"/>
        <v>5 Hrs</v>
      </c>
    </row>
    <row r="410" spans="3:21" s="185" customFormat="1" ht="20.25" customHeight="1">
      <c r="C410" s="198"/>
      <c r="D410" s="203">
        <f t="shared" si="86"/>
        <v>410</v>
      </c>
      <c r="E410" s="207" t="s">
        <v>403</v>
      </c>
      <c r="F410" s="211">
        <f t="shared" si="78"/>
        <v>409</v>
      </c>
      <c r="G410" s="206" t="s">
        <v>172</v>
      </c>
      <c r="H410" s="206"/>
      <c r="I410" s="208"/>
      <c r="J410" s="208"/>
      <c r="K410" s="234">
        <v>1</v>
      </c>
      <c r="L410" s="208" t="s">
        <v>39</v>
      </c>
      <c r="M410" s="217">
        <v>1</v>
      </c>
      <c r="N410" s="208" t="s">
        <v>81</v>
      </c>
      <c r="O410" s="218">
        <v>4</v>
      </c>
      <c r="P410" s="208" t="s">
        <v>162</v>
      </c>
      <c r="Q410" s="240">
        <f t="shared" si="76"/>
        <v>4</v>
      </c>
      <c r="R410" s="239">
        <v>1</v>
      </c>
      <c r="S410" s="240">
        <f t="shared" si="79"/>
        <v>5</v>
      </c>
      <c r="T410" s="216" t="s">
        <v>48</v>
      </c>
      <c r="U410" s="196" t="str">
        <f t="shared" si="77"/>
        <v>5 Hrs</v>
      </c>
    </row>
    <row r="411" spans="3:21" s="185" customFormat="1" ht="20.25" customHeight="1">
      <c r="C411" s="198"/>
      <c r="D411" s="203">
        <f t="shared" si="86"/>
        <v>411</v>
      </c>
      <c r="E411" s="207" t="s">
        <v>404</v>
      </c>
      <c r="F411" s="211">
        <f t="shared" si="78"/>
        <v>410</v>
      </c>
      <c r="G411" s="206" t="s">
        <v>115</v>
      </c>
      <c r="H411" s="206"/>
      <c r="I411" s="224">
        <v>12</v>
      </c>
      <c r="J411" s="208"/>
      <c r="K411" s="234">
        <v>6</v>
      </c>
      <c r="L411" s="208" t="s">
        <v>139</v>
      </c>
      <c r="M411" s="235">
        <f>430*12*0.001</f>
        <v>5.16</v>
      </c>
      <c r="N411" s="208" t="s">
        <v>249</v>
      </c>
      <c r="O411" s="246">
        <f>VLOOKUP(I411,BM!$A$2:$X$104,22,FALSE)</f>
        <v>1.6</v>
      </c>
      <c r="P411" s="208" t="s">
        <v>162</v>
      </c>
      <c r="Q411" s="240">
        <f t="shared" si="76"/>
        <v>8.2560000000000002</v>
      </c>
      <c r="R411" s="239">
        <v>1</v>
      </c>
      <c r="S411" s="240">
        <f t="shared" si="79"/>
        <v>9.26</v>
      </c>
      <c r="T411" s="216" t="s">
        <v>48</v>
      </c>
      <c r="U411" s="196" t="str">
        <f t="shared" si="77"/>
        <v>9.26 Hrs</v>
      </c>
    </row>
    <row r="412" spans="3:21" s="185" customFormat="1" ht="20.25" customHeight="1">
      <c r="C412" s="198">
        <f>D412</f>
        <v>412</v>
      </c>
      <c r="D412" s="203">
        <f t="shared" si="86"/>
        <v>412</v>
      </c>
      <c r="E412" s="209" t="s">
        <v>405</v>
      </c>
      <c r="F412" s="249">
        <v>408</v>
      </c>
      <c r="G412" s="206"/>
      <c r="H412" s="206"/>
      <c r="I412" s="208"/>
      <c r="J412" s="208"/>
      <c r="K412" s="234"/>
      <c r="L412" s="208"/>
      <c r="M412" s="217"/>
      <c r="N412" s="208"/>
      <c r="O412" s="218"/>
      <c r="P412" s="208"/>
      <c r="Q412" s="240"/>
      <c r="R412" s="239"/>
      <c r="S412" s="240"/>
      <c r="T412" s="216"/>
      <c r="U412" s="196"/>
    </row>
    <row r="413" spans="3:21" s="185" customFormat="1" ht="20.25" customHeight="1">
      <c r="C413" s="198"/>
      <c r="D413" s="203">
        <f t="shared" si="86"/>
        <v>413</v>
      </c>
      <c r="E413" s="207" t="s">
        <v>406</v>
      </c>
      <c r="F413" s="211">
        <f t="shared" ref="F413:F474" si="89">D412</f>
        <v>412</v>
      </c>
      <c r="G413" s="206" t="s">
        <v>44</v>
      </c>
      <c r="H413" s="206"/>
      <c r="I413" s="224">
        <v>18</v>
      </c>
      <c r="J413" s="234" t="s">
        <v>407</v>
      </c>
      <c r="K413" s="234">
        <v>1</v>
      </c>
      <c r="L413" s="208" t="s">
        <v>39</v>
      </c>
      <c r="M413" s="217">
        <v>1</v>
      </c>
      <c r="N413" s="208"/>
      <c r="O413" s="218">
        <v>12</v>
      </c>
      <c r="P413" s="208" t="s">
        <v>162</v>
      </c>
      <c r="Q413" s="240">
        <f t="shared" ref="Q413:Q474" si="90">M413*O413</f>
        <v>12</v>
      </c>
      <c r="R413" s="239">
        <v>1</v>
      </c>
      <c r="S413" s="240">
        <f t="shared" ref="S413:S476" si="91">ROUND(Q413+R413,2)</f>
        <v>13</v>
      </c>
      <c r="T413" s="216" t="s">
        <v>48</v>
      </c>
      <c r="U413" s="196" t="str">
        <f t="shared" ref="U413:U474" si="92">CONCATENATE(S413," ",T413)</f>
        <v>13 Hrs</v>
      </c>
    </row>
    <row r="414" spans="3:21" s="185" customFormat="1" ht="20.25" customHeight="1">
      <c r="C414" s="198"/>
      <c r="D414" s="203">
        <f t="shared" si="86"/>
        <v>414</v>
      </c>
      <c r="E414" s="207" t="s">
        <v>64</v>
      </c>
      <c r="F414" s="211">
        <f t="shared" si="89"/>
        <v>413</v>
      </c>
      <c r="G414" s="206" t="s">
        <v>44</v>
      </c>
      <c r="H414" s="206"/>
      <c r="I414" s="224">
        <v>18</v>
      </c>
      <c r="J414" s="225" t="str">
        <f>J413</f>
        <v>6130 lg</v>
      </c>
      <c r="K414" s="225">
        <f>K413</f>
        <v>1</v>
      </c>
      <c r="L414" s="211" t="str">
        <f>L413</f>
        <v>No</v>
      </c>
      <c r="M414" s="235">
        <f>M413</f>
        <v>1</v>
      </c>
      <c r="N414" s="208"/>
      <c r="O414" s="218">
        <v>1</v>
      </c>
      <c r="P414" s="208" t="s">
        <v>41</v>
      </c>
      <c r="Q414" s="240">
        <f t="shared" si="90"/>
        <v>1</v>
      </c>
      <c r="R414" s="239"/>
      <c r="S414" s="240">
        <f t="shared" si="91"/>
        <v>1</v>
      </c>
      <c r="T414" s="216" t="s">
        <v>42</v>
      </c>
      <c r="U414" s="196" t="str">
        <f t="shared" si="92"/>
        <v>1 Days</v>
      </c>
    </row>
    <row r="415" spans="3:21" s="185" customFormat="1" ht="20.25" customHeight="1">
      <c r="C415" s="198">
        <f t="shared" ref="C415:C416" si="93">D415</f>
        <v>415</v>
      </c>
      <c r="D415" s="203">
        <f t="shared" si="86"/>
        <v>415</v>
      </c>
      <c r="E415" s="247" t="s">
        <v>408</v>
      </c>
      <c r="F415" s="210"/>
      <c r="G415" s="206"/>
      <c r="H415" s="206"/>
      <c r="I415" s="208"/>
      <c r="J415" s="208"/>
      <c r="K415" s="234"/>
      <c r="L415" s="208"/>
      <c r="M415" s="217"/>
      <c r="N415" s="208"/>
      <c r="O415" s="218"/>
      <c r="P415" s="208"/>
      <c r="Q415" s="240"/>
      <c r="R415" s="239"/>
      <c r="S415" s="240"/>
      <c r="T415" s="216"/>
      <c r="U415" s="196"/>
    </row>
    <row r="416" spans="3:21" s="185" customFormat="1" ht="20.25" customHeight="1">
      <c r="C416" s="198">
        <f t="shared" si="93"/>
        <v>416</v>
      </c>
      <c r="D416" s="203">
        <f t="shared" si="86"/>
        <v>416</v>
      </c>
      <c r="E416" s="209" t="s">
        <v>409</v>
      </c>
      <c r="F416" s="210">
        <f>D5</f>
        <v>5</v>
      </c>
      <c r="G416" s="206"/>
      <c r="H416" s="206"/>
      <c r="I416" s="208"/>
      <c r="J416" s="208"/>
      <c r="K416" s="234"/>
      <c r="L416" s="208"/>
      <c r="M416" s="217"/>
      <c r="N416" s="208"/>
      <c r="O416" s="218"/>
      <c r="P416" s="208"/>
      <c r="Q416" s="240"/>
      <c r="R416" s="239"/>
      <c r="S416" s="240"/>
      <c r="T416" s="216"/>
      <c r="U416" s="196"/>
    </row>
    <row r="417" spans="3:21" s="185" customFormat="1" ht="20.25" customHeight="1">
      <c r="C417" s="198"/>
      <c r="D417" s="203">
        <f t="shared" si="86"/>
        <v>417</v>
      </c>
      <c r="E417" s="207" t="s">
        <v>410</v>
      </c>
      <c r="F417" s="211">
        <f t="shared" si="89"/>
        <v>416</v>
      </c>
      <c r="G417" s="206" t="s">
        <v>37</v>
      </c>
      <c r="H417" s="206"/>
      <c r="I417" s="208"/>
      <c r="J417" s="208"/>
      <c r="K417" s="234">
        <v>1</v>
      </c>
      <c r="L417" s="208" t="s">
        <v>39</v>
      </c>
      <c r="M417" s="217">
        <v>1</v>
      </c>
      <c r="N417" s="208" t="s">
        <v>39</v>
      </c>
      <c r="O417" s="218">
        <v>4</v>
      </c>
      <c r="P417" s="208" t="s">
        <v>41</v>
      </c>
      <c r="Q417" s="240">
        <f t="shared" si="90"/>
        <v>4</v>
      </c>
      <c r="R417" s="239"/>
      <c r="S417" s="240">
        <f t="shared" si="91"/>
        <v>4</v>
      </c>
      <c r="T417" s="216" t="s">
        <v>42</v>
      </c>
      <c r="U417" s="196" t="str">
        <f t="shared" si="92"/>
        <v>4 Days</v>
      </c>
    </row>
    <row r="418" spans="3:21" s="185" customFormat="1" ht="20.25" customHeight="1">
      <c r="C418" s="198"/>
      <c r="D418" s="203">
        <f t="shared" si="86"/>
        <v>418</v>
      </c>
      <c r="E418" s="207" t="s">
        <v>411</v>
      </c>
      <c r="F418" s="211">
        <f t="shared" si="89"/>
        <v>417</v>
      </c>
      <c r="G418" s="206" t="s">
        <v>201</v>
      </c>
      <c r="H418" s="206"/>
      <c r="I418" s="224">
        <v>18</v>
      </c>
      <c r="J418" s="234" t="s">
        <v>412</v>
      </c>
      <c r="K418" s="234">
        <v>1</v>
      </c>
      <c r="L418" s="208" t="s">
        <v>81</v>
      </c>
      <c r="M418" s="227">
        <f t="shared" ref="M418:M422" si="94">LEFT(J418,SEARCH(" ",J418,1)-1)*K418*0.001</f>
        <v>0.83100000000000007</v>
      </c>
      <c r="N418" s="208" t="s">
        <v>139</v>
      </c>
      <c r="O418" s="246">
        <f>VLOOKUP(I418,BM!$A$2:$X$104,2,FALSE)</f>
        <v>0.1</v>
      </c>
      <c r="P418" s="208" t="s">
        <v>112</v>
      </c>
      <c r="Q418" s="240">
        <f t="shared" si="90"/>
        <v>8.3100000000000007E-2</v>
      </c>
      <c r="R418" s="239">
        <v>1</v>
      </c>
      <c r="S418" s="240">
        <f t="shared" si="91"/>
        <v>1.08</v>
      </c>
      <c r="T418" s="216" t="s">
        <v>48</v>
      </c>
      <c r="U418" s="196" t="str">
        <f t="shared" si="92"/>
        <v>1.08 Hrs</v>
      </c>
    </row>
    <row r="419" spans="3:21" s="185" customFormat="1" ht="20.25" customHeight="1">
      <c r="C419" s="198"/>
      <c r="D419" s="203">
        <f t="shared" si="86"/>
        <v>419</v>
      </c>
      <c r="E419" s="207" t="s">
        <v>413</v>
      </c>
      <c r="F419" s="211">
        <f t="shared" si="89"/>
        <v>418</v>
      </c>
      <c r="G419" s="206" t="s">
        <v>52</v>
      </c>
      <c r="H419" s="206"/>
      <c r="I419" s="233">
        <f t="shared" ref="I419:J422" si="95">I418</f>
        <v>18</v>
      </c>
      <c r="J419" s="211" t="str">
        <f>J418</f>
        <v>831 mm</v>
      </c>
      <c r="K419" s="234">
        <v>1</v>
      </c>
      <c r="L419" s="208" t="s">
        <v>81</v>
      </c>
      <c r="M419" s="227">
        <f t="shared" si="94"/>
        <v>0.83100000000000007</v>
      </c>
      <c r="N419" s="208" t="s">
        <v>139</v>
      </c>
      <c r="O419" s="246">
        <f>VLOOKUP(I419,BM!$A$2:$X$104,3,FALSE)</f>
        <v>0.25</v>
      </c>
      <c r="P419" s="208" t="s">
        <v>112</v>
      </c>
      <c r="Q419" s="240">
        <f t="shared" si="90"/>
        <v>0.20775000000000002</v>
      </c>
      <c r="R419" s="239">
        <v>1</v>
      </c>
      <c r="S419" s="240">
        <f t="shared" si="91"/>
        <v>1.21</v>
      </c>
      <c r="T419" s="216" t="s">
        <v>48</v>
      </c>
      <c r="U419" s="196" t="str">
        <f t="shared" si="92"/>
        <v>1.21 Hrs</v>
      </c>
    </row>
    <row r="420" spans="3:21" s="185" customFormat="1" ht="20.25" customHeight="1">
      <c r="C420" s="198"/>
      <c r="D420" s="203">
        <f t="shared" si="86"/>
        <v>420</v>
      </c>
      <c r="E420" s="207" t="s">
        <v>414</v>
      </c>
      <c r="F420" s="211">
        <f t="shared" si="89"/>
        <v>419</v>
      </c>
      <c r="G420" s="206" t="s">
        <v>61</v>
      </c>
      <c r="H420" s="206"/>
      <c r="I420" s="233">
        <f t="shared" si="95"/>
        <v>18</v>
      </c>
      <c r="J420" s="211" t="str">
        <f t="shared" si="95"/>
        <v>831 mm</v>
      </c>
      <c r="K420" s="234">
        <v>1</v>
      </c>
      <c r="L420" s="208" t="s">
        <v>81</v>
      </c>
      <c r="M420" s="227">
        <f t="shared" si="94"/>
        <v>0.83100000000000007</v>
      </c>
      <c r="N420" s="208" t="s">
        <v>139</v>
      </c>
      <c r="O420" s="246">
        <f>VLOOKUP(I420,BM!$A$2:$X$104,4,FALSE)</f>
        <v>0.15</v>
      </c>
      <c r="P420" s="208" t="s">
        <v>112</v>
      </c>
      <c r="Q420" s="240">
        <f t="shared" si="90"/>
        <v>0.12465000000000001</v>
      </c>
      <c r="R420" s="239">
        <v>1</v>
      </c>
      <c r="S420" s="240">
        <f t="shared" si="91"/>
        <v>1.1200000000000001</v>
      </c>
      <c r="T420" s="216" t="s">
        <v>48</v>
      </c>
      <c r="U420" s="196" t="str">
        <f t="shared" si="92"/>
        <v>1.12 Hrs</v>
      </c>
    </row>
    <row r="421" spans="3:21" s="185" customFormat="1" ht="20.25" customHeight="1">
      <c r="C421" s="198"/>
      <c r="D421" s="203">
        <f t="shared" si="86"/>
        <v>421</v>
      </c>
      <c r="E421" s="207" t="s">
        <v>415</v>
      </c>
      <c r="F421" s="211">
        <f t="shared" si="89"/>
        <v>420</v>
      </c>
      <c r="G421" s="206" t="s">
        <v>224</v>
      </c>
      <c r="H421" s="206"/>
      <c r="I421" s="233">
        <f t="shared" si="95"/>
        <v>18</v>
      </c>
      <c r="J421" s="211" t="str">
        <f t="shared" si="95"/>
        <v>831 mm</v>
      </c>
      <c r="K421" s="234">
        <v>1</v>
      </c>
      <c r="L421" s="208" t="s">
        <v>81</v>
      </c>
      <c r="M421" s="227">
        <f t="shared" si="94"/>
        <v>0.83100000000000007</v>
      </c>
      <c r="N421" s="208" t="s">
        <v>139</v>
      </c>
      <c r="O421" s="246">
        <f>VLOOKUP(I421,BM!$A$2:$X$104,5,FALSE)</f>
        <v>0.5</v>
      </c>
      <c r="P421" s="208" t="s">
        <v>112</v>
      </c>
      <c r="Q421" s="240">
        <f t="shared" si="90"/>
        <v>0.41550000000000004</v>
      </c>
      <c r="R421" s="239">
        <v>1</v>
      </c>
      <c r="S421" s="240">
        <f t="shared" si="91"/>
        <v>1.42</v>
      </c>
      <c r="T421" s="216" t="s">
        <v>48</v>
      </c>
      <c r="U421" s="196" t="str">
        <f t="shared" si="92"/>
        <v>1.42 Hrs</v>
      </c>
    </row>
    <row r="422" spans="3:21" s="185" customFormat="1" ht="20.25" customHeight="1">
      <c r="C422" s="198"/>
      <c r="D422" s="203">
        <f t="shared" si="86"/>
        <v>422</v>
      </c>
      <c r="E422" s="207" t="s">
        <v>416</v>
      </c>
      <c r="F422" s="211">
        <f t="shared" si="89"/>
        <v>421</v>
      </c>
      <c r="G422" s="206" t="s">
        <v>61</v>
      </c>
      <c r="H422" s="206"/>
      <c r="I422" s="233">
        <f t="shared" si="95"/>
        <v>18</v>
      </c>
      <c r="J422" s="211" t="str">
        <f t="shared" si="95"/>
        <v>831 mm</v>
      </c>
      <c r="K422" s="234">
        <v>1</v>
      </c>
      <c r="L422" s="208" t="s">
        <v>81</v>
      </c>
      <c r="M422" s="227">
        <f t="shared" si="94"/>
        <v>0.83100000000000007</v>
      </c>
      <c r="N422" s="208" t="s">
        <v>139</v>
      </c>
      <c r="O422" s="246">
        <f>VLOOKUP(I422,BM!$A$2:$X$104,6,FALSE)</f>
        <v>1</v>
      </c>
      <c r="P422" s="208" t="s">
        <v>112</v>
      </c>
      <c r="Q422" s="240">
        <f t="shared" si="90"/>
        <v>0.83100000000000007</v>
      </c>
      <c r="R422" s="239">
        <v>1</v>
      </c>
      <c r="S422" s="240">
        <f t="shared" si="91"/>
        <v>1.83</v>
      </c>
      <c r="T422" s="216" t="s">
        <v>48</v>
      </c>
      <c r="U422" s="196" t="str">
        <f t="shared" si="92"/>
        <v>1.83 Hrs</v>
      </c>
    </row>
    <row r="423" spans="3:21" s="185" customFormat="1" ht="20.25" customHeight="1">
      <c r="C423" s="198">
        <f>D423</f>
        <v>423</v>
      </c>
      <c r="D423" s="203">
        <f t="shared" si="86"/>
        <v>423</v>
      </c>
      <c r="E423" s="209" t="s">
        <v>417</v>
      </c>
      <c r="F423" s="210">
        <f>D416</f>
        <v>416</v>
      </c>
      <c r="G423" s="206"/>
      <c r="H423" s="206"/>
      <c r="I423" s="208"/>
      <c r="J423" s="208"/>
      <c r="K423" s="234"/>
      <c r="L423" s="208"/>
      <c r="M423" s="217"/>
      <c r="N423" s="208"/>
      <c r="O423" s="218"/>
      <c r="P423" s="208"/>
      <c r="Q423" s="240"/>
      <c r="R423" s="239"/>
      <c r="S423" s="240"/>
      <c r="T423" s="216"/>
      <c r="U423" s="196"/>
    </row>
    <row r="424" spans="3:21" s="185" customFormat="1" ht="20.25" customHeight="1">
      <c r="C424" s="198"/>
      <c r="D424" s="203">
        <f t="shared" si="86"/>
        <v>424</v>
      </c>
      <c r="E424" s="207" t="s">
        <v>418</v>
      </c>
      <c r="F424" s="211"/>
      <c r="G424" s="206" t="s">
        <v>286</v>
      </c>
      <c r="H424" s="206"/>
      <c r="I424" s="233">
        <f>I422</f>
        <v>18</v>
      </c>
      <c r="J424" s="211" t="str">
        <f>J422</f>
        <v>831 mm</v>
      </c>
      <c r="K424" s="234">
        <v>1</v>
      </c>
      <c r="L424" s="208" t="s">
        <v>81</v>
      </c>
      <c r="M424" s="217">
        <v>1</v>
      </c>
      <c r="N424" s="208" t="s">
        <v>139</v>
      </c>
      <c r="O424" s="218">
        <v>3</v>
      </c>
      <c r="P424" s="208" t="s">
        <v>112</v>
      </c>
      <c r="Q424" s="240">
        <f t="shared" si="90"/>
        <v>3</v>
      </c>
      <c r="R424" s="239">
        <v>1</v>
      </c>
      <c r="S424" s="240">
        <f t="shared" si="91"/>
        <v>4</v>
      </c>
      <c r="T424" s="216" t="s">
        <v>48</v>
      </c>
      <c r="U424" s="196" t="str">
        <f t="shared" si="92"/>
        <v>4 Hrs</v>
      </c>
    </row>
    <row r="425" spans="3:21" s="185" customFormat="1" ht="20.25" customHeight="1">
      <c r="C425" s="198"/>
      <c r="D425" s="203">
        <f t="shared" si="86"/>
        <v>425</v>
      </c>
      <c r="E425" s="207" t="s">
        <v>419</v>
      </c>
      <c r="F425" s="211">
        <f t="shared" si="89"/>
        <v>424</v>
      </c>
      <c r="G425" s="206" t="s">
        <v>420</v>
      </c>
      <c r="H425" s="206"/>
      <c r="I425" s="233">
        <f t="shared" ref="I425:J427" si="96">I424</f>
        <v>18</v>
      </c>
      <c r="J425" s="211" t="str">
        <f t="shared" si="96"/>
        <v>831 mm</v>
      </c>
      <c r="K425" s="234">
        <v>1</v>
      </c>
      <c r="L425" s="208" t="s">
        <v>81</v>
      </c>
      <c r="M425" s="227">
        <f>LEFT(J425,SEARCH(" ",J425,1)-1)*K425*0.001*2</f>
        <v>1.6620000000000001</v>
      </c>
      <c r="N425" s="208" t="s">
        <v>139</v>
      </c>
      <c r="O425" s="246">
        <f>VLOOKUP(I425,BM!$A$2:$X$104,8,FALSE)</f>
        <v>0.3</v>
      </c>
      <c r="P425" s="208" t="s">
        <v>112</v>
      </c>
      <c r="Q425" s="240">
        <f t="shared" si="90"/>
        <v>0.49860000000000004</v>
      </c>
      <c r="R425" s="239">
        <v>1</v>
      </c>
      <c r="S425" s="240">
        <f t="shared" si="91"/>
        <v>1.5</v>
      </c>
      <c r="T425" s="216" t="s">
        <v>48</v>
      </c>
      <c r="U425" s="196" t="str">
        <f t="shared" si="92"/>
        <v>1.5 Hrs</v>
      </c>
    </row>
    <row r="426" spans="3:21" s="185" customFormat="1" ht="20.25" customHeight="1">
      <c r="C426" s="198"/>
      <c r="D426" s="203">
        <f t="shared" si="86"/>
        <v>426</v>
      </c>
      <c r="E426" s="207" t="s">
        <v>421</v>
      </c>
      <c r="F426" s="211">
        <f t="shared" si="89"/>
        <v>425</v>
      </c>
      <c r="G426" s="206" t="s">
        <v>348</v>
      </c>
      <c r="H426" s="206"/>
      <c r="I426" s="233">
        <f t="shared" si="96"/>
        <v>18</v>
      </c>
      <c r="J426" s="211" t="str">
        <f t="shared" si="96"/>
        <v>831 mm</v>
      </c>
      <c r="K426" s="234">
        <v>1</v>
      </c>
      <c r="L426" s="208" t="s">
        <v>81</v>
      </c>
      <c r="M426" s="227">
        <f>LEFT(J426,SEARCH(" ",J426,1)-1)*K426*0.001*2</f>
        <v>1.6620000000000001</v>
      </c>
      <c r="N426" s="208" t="s">
        <v>139</v>
      </c>
      <c r="O426" s="246">
        <f>VLOOKUP(I426,BM!$A$2:$X$104,9,FALSE)</f>
        <v>1</v>
      </c>
      <c r="P426" s="208" t="s">
        <v>112</v>
      </c>
      <c r="Q426" s="240">
        <f t="shared" si="90"/>
        <v>1.6620000000000001</v>
      </c>
      <c r="R426" s="239">
        <v>1</v>
      </c>
      <c r="S426" s="240">
        <f t="shared" si="91"/>
        <v>2.66</v>
      </c>
      <c r="T426" s="216" t="s">
        <v>48</v>
      </c>
      <c r="U426" s="196" t="str">
        <f t="shared" si="92"/>
        <v>2.66 Hrs</v>
      </c>
    </row>
    <row r="427" spans="3:21" s="185" customFormat="1" ht="20.25" customHeight="1">
      <c r="C427" s="198"/>
      <c r="D427" s="203">
        <f t="shared" si="86"/>
        <v>427</v>
      </c>
      <c r="E427" s="207" t="s">
        <v>422</v>
      </c>
      <c r="F427" s="211">
        <f t="shared" si="89"/>
        <v>426</v>
      </c>
      <c r="G427" s="206" t="s">
        <v>286</v>
      </c>
      <c r="H427" s="206"/>
      <c r="I427" s="233">
        <f t="shared" si="96"/>
        <v>18</v>
      </c>
      <c r="J427" s="211" t="str">
        <f t="shared" si="96"/>
        <v>831 mm</v>
      </c>
      <c r="K427" s="234">
        <v>1</v>
      </c>
      <c r="L427" s="208" t="s">
        <v>81</v>
      </c>
      <c r="M427" s="227">
        <v>1</v>
      </c>
      <c r="N427" s="208" t="s">
        <v>39</v>
      </c>
      <c r="O427" s="218">
        <v>3</v>
      </c>
      <c r="P427" s="208" t="s">
        <v>112</v>
      </c>
      <c r="Q427" s="240">
        <f t="shared" si="90"/>
        <v>3</v>
      </c>
      <c r="R427" s="239">
        <v>1</v>
      </c>
      <c r="S427" s="240">
        <f t="shared" si="91"/>
        <v>4</v>
      </c>
      <c r="T427" s="216" t="s">
        <v>48</v>
      </c>
      <c r="U427" s="196" t="str">
        <f t="shared" si="92"/>
        <v>4 Hrs</v>
      </c>
    </row>
    <row r="428" spans="3:21" s="185" customFormat="1" ht="20.25" customHeight="1">
      <c r="C428" s="198">
        <f>D428</f>
        <v>428</v>
      </c>
      <c r="D428" s="203">
        <f t="shared" si="86"/>
        <v>428</v>
      </c>
      <c r="E428" s="209" t="s">
        <v>423</v>
      </c>
      <c r="F428" s="210">
        <f>D423</f>
        <v>423</v>
      </c>
      <c r="G428" s="206"/>
      <c r="H428" s="206"/>
      <c r="I428" s="208"/>
      <c r="J428" s="208"/>
      <c r="K428" s="234"/>
      <c r="L428" s="208"/>
      <c r="M428" s="217"/>
      <c r="N428" s="208"/>
      <c r="O428" s="218"/>
      <c r="P428" s="208"/>
      <c r="Q428" s="240"/>
      <c r="R428" s="239"/>
      <c r="S428" s="240"/>
      <c r="T428" s="216"/>
      <c r="U428" s="196"/>
    </row>
    <row r="429" spans="3:21" s="185" customFormat="1" ht="20.25" customHeight="1">
      <c r="C429" s="198"/>
      <c r="D429" s="203">
        <f t="shared" si="86"/>
        <v>429</v>
      </c>
      <c r="E429" s="207" t="s">
        <v>424</v>
      </c>
      <c r="F429" s="211"/>
      <c r="G429" s="206" t="s">
        <v>348</v>
      </c>
      <c r="H429" s="206"/>
      <c r="I429" s="224">
        <v>18</v>
      </c>
      <c r="J429" s="211" t="str">
        <f>J427</f>
        <v>831 mm</v>
      </c>
      <c r="K429" s="234">
        <v>1</v>
      </c>
      <c r="L429" s="208" t="s">
        <v>81</v>
      </c>
      <c r="M429" s="227">
        <f>LEFT(J429,SEARCH(" ",J429,1)-1)*K429*0.001*2</f>
        <v>1.6620000000000001</v>
      </c>
      <c r="N429" s="208" t="s">
        <v>139</v>
      </c>
      <c r="O429" s="246">
        <f>VLOOKUP(I429,BM!$A$2:$X$104,9,FALSE)</f>
        <v>1</v>
      </c>
      <c r="P429" s="208" t="s">
        <v>112</v>
      </c>
      <c r="Q429" s="240">
        <f t="shared" si="90"/>
        <v>1.6620000000000001</v>
      </c>
      <c r="R429" s="239">
        <v>1</v>
      </c>
      <c r="S429" s="240">
        <f t="shared" si="91"/>
        <v>2.66</v>
      </c>
      <c r="T429" s="216" t="s">
        <v>48</v>
      </c>
      <c r="U429" s="196" t="str">
        <f t="shared" si="92"/>
        <v>2.66 Hrs</v>
      </c>
    </row>
    <row r="430" spans="3:21" s="185" customFormat="1" ht="20.25" customHeight="1">
      <c r="C430" s="198"/>
      <c r="D430" s="203">
        <f t="shared" si="86"/>
        <v>430</v>
      </c>
      <c r="E430" s="207" t="s">
        <v>425</v>
      </c>
      <c r="F430" s="211">
        <f t="shared" si="89"/>
        <v>429</v>
      </c>
      <c r="G430" s="206" t="s">
        <v>111</v>
      </c>
      <c r="H430" s="206"/>
      <c r="I430" s="224">
        <v>18</v>
      </c>
      <c r="J430" s="211" t="str">
        <f>J429</f>
        <v>831 mm</v>
      </c>
      <c r="K430" s="234">
        <v>1</v>
      </c>
      <c r="L430" s="208" t="s">
        <v>81</v>
      </c>
      <c r="M430" s="227">
        <f>LEFT(J430,SEARCH(" ",J430,1)-1)*K430*0.001</f>
        <v>0.83100000000000007</v>
      </c>
      <c r="N430" s="208" t="s">
        <v>139</v>
      </c>
      <c r="O430" s="246">
        <f>VLOOKUP(I430,BM!$A$2:$X$104,10,FALSE)</f>
        <v>1</v>
      </c>
      <c r="P430" s="208" t="s">
        <v>112</v>
      </c>
      <c r="Q430" s="240">
        <f t="shared" si="90"/>
        <v>0.83100000000000007</v>
      </c>
      <c r="R430" s="239">
        <v>1</v>
      </c>
      <c r="S430" s="240">
        <f t="shared" si="91"/>
        <v>1.83</v>
      </c>
      <c r="T430" s="216" t="s">
        <v>48</v>
      </c>
      <c r="U430" s="196" t="str">
        <f t="shared" si="92"/>
        <v>1.83 Hrs</v>
      </c>
    </row>
    <row r="431" spans="3:21" s="185" customFormat="1" ht="20.25" customHeight="1">
      <c r="C431" s="198">
        <f>D431</f>
        <v>431</v>
      </c>
      <c r="D431" s="203">
        <f t="shared" si="86"/>
        <v>431</v>
      </c>
      <c r="E431" s="209" t="s">
        <v>426</v>
      </c>
      <c r="F431" s="210">
        <f>D428</f>
        <v>428</v>
      </c>
      <c r="G431" s="206"/>
      <c r="H431" s="206"/>
      <c r="I431" s="208"/>
      <c r="J431" s="208"/>
      <c r="K431" s="234"/>
      <c r="L431" s="208"/>
      <c r="M431" s="217"/>
      <c r="N431" s="208"/>
      <c r="O431" s="218"/>
      <c r="P431" s="208"/>
      <c r="Q431" s="240"/>
      <c r="R431" s="239"/>
      <c r="S431" s="240"/>
      <c r="T431" s="216"/>
      <c r="U431" s="196"/>
    </row>
    <row r="432" spans="3:21" s="185" customFormat="1" ht="20.25" customHeight="1">
      <c r="C432" s="198"/>
      <c r="D432" s="203">
        <f t="shared" si="86"/>
        <v>432</v>
      </c>
      <c r="E432" s="207" t="s">
        <v>427</v>
      </c>
      <c r="F432" s="211"/>
      <c r="G432" s="206" t="s">
        <v>201</v>
      </c>
      <c r="H432" s="206"/>
      <c r="I432" s="224">
        <v>18</v>
      </c>
      <c r="J432" s="211" t="str">
        <f>J430</f>
        <v>831 mm</v>
      </c>
      <c r="K432" s="234">
        <v>1</v>
      </c>
      <c r="L432" s="208" t="s">
        <v>81</v>
      </c>
      <c r="M432" s="217">
        <v>1</v>
      </c>
      <c r="N432" s="208" t="s">
        <v>139</v>
      </c>
      <c r="O432" s="218">
        <v>1</v>
      </c>
      <c r="P432" s="208" t="s">
        <v>112</v>
      </c>
      <c r="Q432" s="240">
        <f t="shared" si="90"/>
        <v>1</v>
      </c>
      <c r="R432" s="239">
        <v>1</v>
      </c>
      <c r="S432" s="240">
        <f t="shared" si="91"/>
        <v>2</v>
      </c>
      <c r="T432" s="216" t="s">
        <v>48</v>
      </c>
      <c r="U432" s="196" t="str">
        <f t="shared" si="92"/>
        <v>2 Hrs</v>
      </c>
    </row>
    <row r="433" spans="3:21" s="185" customFormat="1" ht="20.25" customHeight="1">
      <c r="C433" s="198"/>
      <c r="D433" s="203">
        <f t="shared" si="86"/>
        <v>433</v>
      </c>
      <c r="E433" s="207" t="s">
        <v>428</v>
      </c>
      <c r="F433" s="211">
        <f t="shared" si="89"/>
        <v>432</v>
      </c>
      <c r="G433" s="206" t="s">
        <v>115</v>
      </c>
      <c r="H433" s="206"/>
      <c r="I433" s="224">
        <v>12</v>
      </c>
      <c r="J433" s="211" t="str">
        <f t="shared" ref="J433:J437" si="97">J432</f>
        <v>831 mm</v>
      </c>
      <c r="K433" s="234">
        <v>1</v>
      </c>
      <c r="L433" s="208" t="s">
        <v>81</v>
      </c>
      <c r="M433" s="227">
        <f t="shared" ref="M433:M436" si="98">LEFT(J433,SEARCH(" ",J433,1)-1)*K433*0.001</f>
        <v>0.83100000000000007</v>
      </c>
      <c r="N433" s="208" t="s">
        <v>139</v>
      </c>
      <c r="O433" s="246">
        <f>VLOOKUP(I433,BM!$A$2:$X$104,12,FALSE)</f>
        <v>2.5</v>
      </c>
      <c r="P433" s="208" t="s">
        <v>112</v>
      </c>
      <c r="Q433" s="240">
        <f t="shared" si="90"/>
        <v>2.0775000000000001</v>
      </c>
      <c r="R433" s="239">
        <v>1</v>
      </c>
      <c r="S433" s="240">
        <f t="shared" si="91"/>
        <v>3.08</v>
      </c>
      <c r="T433" s="216" t="s">
        <v>48</v>
      </c>
      <c r="U433" s="196" t="str">
        <f t="shared" si="92"/>
        <v>3.08 Hrs</v>
      </c>
    </row>
    <row r="434" spans="3:21" s="185" customFormat="1" ht="20.25" customHeight="1">
      <c r="C434" s="198"/>
      <c r="D434" s="203">
        <f t="shared" si="86"/>
        <v>434</v>
      </c>
      <c r="E434" s="207" t="s">
        <v>429</v>
      </c>
      <c r="F434" s="211">
        <f t="shared" si="89"/>
        <v>433</v>
      </c>
      <c r="G434" s="206" t="s">
        <v>121</v>
      </c>
      <c r="H434" s="206"/>
      <c r="I434" s="224">
        <v>18</v>
      </c>
      <c r="J434" s="211" t="str">
        <f t="shared" si="97"/>
        <v>831 mm</v>
      </c>
      <c r="K434" s="234">
        <v>1</v>
      </c>
      <c r="L434" s="208" t="s">
        <v>81</v>
      </c>
      <c r="M434" s="227">
        <f t="shared" si="98"/>
        <v>0.83100000000000007</v>
      </c>
      <c r="N434" s="208" t="s">
        <v>139</v>
      </c>
      <c r="O434" s="246">
        <f>VLOOKUP(I434,BM!$A$2:$X$104,18,FALSE)</f>
        <v>1</v>
      </c>
      <c r="P434" s="208" t="s">
        <v>112</v>
      </c>
      <c r="Q434" s="240">
        <f t="shared" si="90"/>
        <v>0.83100000000000007</v>
      </c>
      <c r="R434" s="239">
        <v>1</v>
      </c>
      <c r="S434" s="240">
        <f t="shared" si="91"/>
        <v>1.83</v>
      </c>
      <c r="T434" s="216" t="s">
        <v>48</v>
      </c>
      <c r="U434" s="196" t="str">
        <f t="shared" si="92"/>
        <v>1.83 Hrs</v>
      </c>
    </row>
    <row r="435" spans="3:21" s="185" customFormat="1" ht="20.25" customHeight="1">
      <c r="C435" s="198"/>
      <c r="D435" s="203">
        <f t="shared" si="86"/>
        <v>435</v>
      </c>
      <c r="E435" s="207" t="s">
        <v>430</v>
      </c>
      <c r="F435" s="211">
        <f t="shared" si="89"/>
        <v>434</v>
      </c>
      <c r="G435" s="206" t="s">
        <v>115</v>
      </c>
      <c r="H435" s="206"/>
      <c r="I435" s="224">
        <v>6</v>
      </c>
      <c r="J435" s="211" t="str">
        <f t="shared" si="97"/>
        <v>831 mm</v>
      </c>
      <c r="K435" s="234">
        <v>1</v>
      </c>
      <c r="L435" s="208" t="s">
        <v>81</v>
      </c>
      <c r="M435" s="227">
        <f t="shared" si="98"/>
        <v>0.83100000000000007</v>
      </c>
      <c r="N435" s="208" t="s">
        <v>139</v>
      </c>
      <c r="O435" s="246">
        <f>VLOOKUP(I435,BM!$A$2:$X$104,12,FALSE)</f>
        <v>0.9</v>
      </c>
      <c r="P435" s="208" t="s">
        <v>112</v>
      </c>
      <c r="Q435" s="240">
        <f t="shared" si="90"/>
        <v>0.74790000000000012</v>
      </c>
      <c r="R435" s="239">
        <v>1</v>
      </c>
      <c r="S435" s="240">
        <f t="shared" si="91"/>
        <v>1.75</v>
      </c>
      <c r="T435" s="216" t="s">
        <v>48</v>
      </c>
      <c r="U435" s="196" t="str">
        <f t="shared" si="92"/>
        <v>1.75 Hrs</v>
      </c>
    </row>
    <row r="436" spans="3:21" s="185" customFormat="1" ht="20.25" customHeight="1">
      <c r="C436" s="198"/>
      <c r="D436" s="203">
        <f t="shared" si="86"/>
        <v>436</v>
      </c>
      <c r="E436" s="207" t="s">
        <v>431</v>
      </c>
      <c r="F436" s="211">
        <f t="shared" si="89"/>
        <v>435</v>
      </c>
      <c r="G436" s="206" t="s">
        <v>61</v>
      </c>
      <c r="H436" s="206"/>
      <c r="I436" s="224">
        <v>6</v>
      </c>
      <c r="J436" s="211" t="str">
        <f t="shared" si="97"/>
        <v>831 mm</v>
      </c>
      <c r="K436" s="234">
        <v>1</v>
      </c>
      <c r="L436" s="208" t="s">
        <v>81</v>
      </c>
      <c r="M436" s="227">
        <f t="shared" si="98"/>
        <v>0.83100000000000007</v>
      </c>
      <c r="N436" s="208" t="s">
        <v>139</v>
      </c>
      <c r="O436" s="246">
        <f>VLOOKUP(I436,BM!$A$2:$X$104,20,FALSE)</f>
        <v>0.5</v>
      </c>
      <c r="P436" s="208" t="s">
        <v>112</v>
      </c>
      <c r="Q436" s="240">
        <f t="shared" si="90"/>
        <v>0.41550000000000004</v>
      </c>
      <c r="R436" s="239">
        <v>1</v>
      </c>
      <c r="S436" s="240">
        <f t="shared" si="91"/>
        <v>1.42</v>
      </c>
      <c r="T436" s="216" t="s">
        <v>48</v>
      </c>
      <c r="U436" s="196" t="str">
        <f t="shared" si="92"/>
        <v>1.42 Hrs</v>
      </c>
    </row>
    <row r="437" spans="3:21" s="185" customFormat="1" ht="20.25" customHeight="1">
      <c r="C437" s="198"/>
      <c r="D437" s="203">
        <f t="shared" si="86"/>
        <v>437</v>
      </c>
      <c r="E437" s="207" t="s">
        <v>432</v>
      </c>
      <c r="F437" s="211">
        <f t="shared" si="89"/>
        <v>436</v>
      </c>
      <c r="G437" s="206" t="s">
        <v>286</v>
      </c>
      <c r="H437" s="206"/>
      <c r="I437" s="224">
        <v>18</v>
      </c>
      <c r="J437" s="211" t="str">
        <f t="shared" si="97"/>
        <v>831 mm</v>
      </c>
      <c r="K437" s="234">
        <v>1</v>
      </c>
      <c r="L437" s="208" t="s">
        <v>81</v>
      </c>
      <c r="M437" s="217">
        <v>1</v>
      </c>
      <c r="N437" s="208" t="s">
        <v>81</v>
      </c>
      <c r="O437" s="218">
        <v>3</v>
      </c>
      <c r="P437" s="208" t="s">
        <v>112</v>
      </c>
      <c r="Q437" s="240">
        <f t="shared" si="90"/>
        <v>3</v>
      </c>
      <c r="R437" s="239">
        <v>1</v>
      </c>
      <c r="S437" s="240">
        <f t="shared" si="91"/>
        <v>4</v>
      </c>
      <c r="T437" s="216" t="s">
        <v>48</v>
      </c>
      <c r="U437" s="196" t="str">
        <f t="shared" si="92"/>
        <v>4 Hrs</v>
      </c>
    </row>
    <row r="438" spans="3:21" s="185" customFormat="1" ht="20.25" customHeight="1">
      <c r="C438" s="198">
        <f>D438</f>
        <v>438</v>
      </c>
      <c r="D438" s="203">
        <f t="shared" si="86"/>
        <v>438</v>
      </c>
      <c r="E438" s="209" t="s">
        <v>433</v>
      </c>
      <c r="F438" s="210">
        <f>D431</f>
        <v>431</v>
      </c>
      <c r="G438" s="206"/>
      <c r="H438" s="206"/>
      <c r="I438" s="208"/>
      <c r="J438" s="208"/>
      <c r="K438" s="234"/>
      <c r="L438" s="208"/>
      <c r="M438" s="217"/>
      <c r="N438" s="208"/>
      <c r="O438" s="218"/>
      <c r="P438" s="208"/>
      <c r="Q438" s="240"/>
      <c r="R438" s="239"/>
      <c r="S438" s="240"/>
      <c r="T438" s="216"/>
      <c r="U438" s="196"/>
    </row>
    <row r="439" spans="3:21" s="185" customFormat="1" ht="20.25" customHeight="1">
      <c r="C439" s="198"/>
      <c r="D439" s="203">
        <f t="shared" si="86"/>
        <v>439</v>
      </c>
      <c r="E439" s="207" t="s">
        <v>434</v>
      </c>
      <c r="F439" s="211"/>
      <c r="G439" s="206" t="s">
        <v>312</v>
      </c>
      <c r="H439" s="206"/>
      <c r="I439" s="224">
        <v>18</v>
      </c>
      <c r="J439" s="211" t="str">
        <f>J437</f>
        <v>831 mm</v>
      </c>
      <c r="K439" s="234">
        <v>1</v>
      </c>
      <c r="L439" s="208" t="s">
        <v>39</v>
      </c>
      <c r="M439" s="217">
        <v>1</v>
      </c>
      <c r="N439" s="208" t="s">
        <v>39</v>
      </c>
      <c r="O439" s="218">
        <v>1</v>
      </c>
      <c r="P439" s="208" t="s">
        <v>435</v>
      </c>
      <c r="Q439" s="240">
        <f t="shared" si="90"/>
        <v>1</v>
      </c>
      <c r="R439" s="239"/>
      <c r="S439" s="240">
        <f t="shared" si="91"/>
        <v>1</v>
      </c>
      <c r="T439" s="216" t="s">
        <v>42</v>
      </c>
      <c r="U439" s="196" t="str">
        <f t="shared" si="92"/>
        <v>1 Days</v>
      </c>
    </row>
    <row r="440" spans="3:21" s="185" customFormat="1" ht="20.25" customHeight="1">
      <c r="C440" s="198">
        <f>D440</f>
        <v>440</v>
      </c>
      <c r="D440" s="203">
        <f t="shared" si="86"/>
        <v>440</v>
      </c>
      <c r="E440" s="209" t="s">
        <v>436</v>
      </c>
      <c r="F440" s="210">
        <f>D438</f>
        <v>438</v>
      </c>
      <c r="G440" s="206"/>
      <c r="H440" s="206"/>
      <c r="I440" s="208"/>
      <c r="J440" s="208"/>
      <c r="K440" s="234"/>
      <c r="L440" s="208"/>
      <c r="M440" s="217"/>
      <c r="N440" s="208"/>
      <c r="O440" s="218"/>
      <c r="P440" s="208"/>
      <c r="Q440" s="240"/>
      <c r="R440" s="239"/>
      <c r="S440" s="240"/>
      <c r="T440" s="216"/>
      <c r="U440" s="196"/>
    </row>
    <row r="441" spans="3:21" s="185" customFormat="1" ht="20.25" customHeight="1">
      <c r="C441" s="198"/>
      <c r="D441" s="203">
        <f t="shared" si="86"/>
        <v>441</v>
      </c>
      <c r="E441" s="207" t="s">
        <v>437</v>
      </c>
      <c r="F441" s="211"/>
      <c r="G441" s="206" t="s">
        <v>348</v>
      </c>
      <c r="H441" s="206"/>
      <c r="I441" s="233">
        <f>I439</f>
        <v>18</v>
      </c>
      <c r="J441" s="225" t="s">
        <v>317</v>
      </c>
      <c r="K441" s="234">
        <v>1</v>
      </c>
      <c r="L441" s="208" t="s">
        <v>81</v>
      </c>
      <c r="M441" s="227">
        <f>LEFT(J441,SEARCH(" ",J441,1)-1)*K441*3.142*0.001*2</f>
        <v>9.8030399999999993</v>
      </c>
      <c r="N441" s="208" t="s">
        <v>139</v>
      </c>
      <c r="O441" s="246">
        <f>VLOOKUP(I441,BM!$A$2:$X$104,13,FALSE)</f>
        <v>0.45</v>
      </c>
      <c r="P441" s="208" t="s">
        <v>112</v>
      </c>
      <c r="Q441" s="240">
        <f t="shared" si="90"/>
        <v>4.4113679999999995</v>
      </c>
      <c r="R441" s="239">
        <v>1</v>
      </c>
      <c r="S441" s="240">
        <f t="shared" si="91"/>
        <v>5.41</v>
      </c>
      <c r="T441" s="216" t="s">
        <v>48</v>
      </c>
      <c r="U441" s="196" t="str">
        <f t="shared" si="92"/>
        <v>5.41 Hrs</v>
      </c>
    </row>
    <row r="442" spans="3:21" s="185" customFormat="1" ht="20.25" customHeight="1">
      <c r="C442" s="198"/>
      <c r="D442" s="203">
        <f t="shared" si="86"/>
        <v>442</v>
      </c>
      <c r="E442" s="207" t="s">
        <v>438</v>
      </c>
      <c r="F442" s="211">
        <f t="shared" si="89"/>
        <v>441</v>
      </c>
      <c r="G442" s="206" t="s">
        <v>111</v>
      </c>
      <c r="H442" s="206"/>
      <c r="I442" s="224">
        <v>18</v>
      </c>
      <c r="J442" s="208" t="str">
        <f>J441</f>
        <v>1560 mm id</v>
      </c>
      <c r="K442" s="234">
        <v>1</v>
      </c>
      <c r="L442" s="208" t="s">
        <v>81</v>
      </c>
      <c r="M442" s="227">
        <f>LEFT(J442,SEARCH(" ",J442,1)-1)*K442*3.142*0.001</f>
        <v>4.9015199999999997</v>
      </c>
      <c r="N442" s="208" t="s">
        <v>139</v>
      </c>
      <c r="O442" s="246">
        <f>VLOOKUP(I442,BM!$A$2:$X$104,16,FALSE)</f>
        <v>1</v>
      </c>
      <c r="P442" s="208" t="s">
        <v>112</v>
      </c>
      <c r="Q442" s="240">
        <f t="shared" si="90"/>
        <v>4.9015199999999997</v>
      </c>
      <c r="R442" s="239">
        <v>1</v>
      </c>
      <c r="S442" s="240">
        <f t="shared" si="91"/>
        <v>5.9</v>
      </c>
      <c r="T442" s="216" t="s">
        <v>48</v>
      </c>
      <c r="U442" s="196" t="str">
        <f t="shared" si="92"/>
        <v>5.9 Hrs</v>
      </c>
    </row>
    <row r="443" spans="3:21" s="185" customFormat="1" ht="20.25" customHeight="1">
      <c r="C443" s="198"/>
      <c r="D443" s="203">
        <f t="shared" si="86"/>
        <v>443</v>
      </c>
      <c r="E443" s="207" t="s">
        <v>439</v>
      </c>
      <c r="F443" s="211">
        <f t="shared" si="89"/>
        <v>442</v>
      </c>
      <c r="G443" s="206" t="s">
        <v>44</v>
      </c>
      <c r="H443" s="206"/>
      <c r="I443" s="224">
        <v>18</v>
      </c>
      <c r="J443" s="208" t="str">
        <f>J442</f>
        <v>1560 mm id</v>
      </c>
      <c r="K443" s="234">
        <v>1</v>
      </c>
      <c r="L443" s="208" t="s">
        <v>81</v>
      </c>
      <c r="M443" s="217">
        <v>1</v>
      </c>
      <c r="N443" s="208" t="s">
        <v>139</v>
      </c>
      <c r="O443" s="218">
        <v>4</v>
      </c>
      <c r="P443" s="208" t="s">
        <v>112</v>
      </c>
      <c r="Q443" s="240">
        <f t="shared" si="90"/>
        <v>4</v>
      </c>
      <c r="R443" s="239">
        <v>1</v>
      </c>
      <c r="S443" s="240">
        <f t="shared" si="91"/>
        <v>5</v>
      </c>
      <c r="T443" s="216" t="s">
        <v>48</v>
      </c>
      <c r="U443" s="196" t="str">
        <f t="shared" si="92"/>
        <v>5 Hrs</v>
      </c>
    </row>
    <row r="444" spans="3:21" s="185" customFormat="1" ht="20.25" customHeight="1">
      <c r="C444" s="198">
        <f>D444</f>
        <v>444</v>
      </c>
      <c r="D444" s="203">
        <f t="shared" si="86"/>
        <v>444</v>
      </c>
      <c r="E444" s="209" t="s">
        <v>440</v>
      </c>
      <c r="F444" s="210">
        <f>D440</f>
        <v>440</v>
      </c>
      <c r="G444" s="206"/>
      <c r="H444" s="206"/>
      <c r="I444" s="208"/>
      <c r="J444" s="208"/>
      <c r="K444" s="234"/>
      <c r="L444" s="208"/>
      <c r="M444" s="217"/>
      <c r="N444" s="208"/>
      <c r="O444" s="218"/>
      <c r="P444" s="208"/>
      <c r="Q444" s="240"/>
      <c r="R444" s="239"/>
      <c r="S444" s="240"/>
      <c r="T444" s="216"/>
      <c r="U444" s="196"/>
    </row>
    <row r="445" spans="3:21" s="185" customFormat="1" ht="20.25" customHeight="1">
      <c r="C445" s="198"/>
      <c r="D445" s="203">
        <f t="shared" si="86"/>
        <v>445</v>
      </c>
      <c r="E445" s="207" t="s">
        <v>441</v>
      </c>
      <c r="F445" s="211"/>
      <c r="G445" s="206" t="s">
        <v>201</v>
      </c>
      <c r="H445" s="206"/>
      <c r="I445" s="224">
        <v>18</v>
      </c>
      <c r="J445" s="208" t="str">
        <f>J443</f>
        <v>1560 mm id</v>
      </c>
      <c r="K445" s="234">
        <v>1</v>
      </c>
      <c r="L445" s="208" t="s">
        <v>81</v>
      </c>
      <c r="M445" s="217">
        <v>1</v>
      </c>
      <c r="N445" s="208" t="s">
        <v>39</v>
      </c>
      <c r="O445" s="218">
        <v>1</v>
      </c>
      <c r="P445" s="208" t="s">
        <v>112</v>
      </c>
      <c r="Q445" s="240">
        <f t="shared" si="90"/>
        <v>1</v>
      </c>
      <c r="R445" s="239">
        <v>1</v>
      </c>
      <c r="S445" s="240">
        <f t="shared" si="91"/>
        <v>2</v>
      </c>
      <c r="T445" s="216" t="s">
        <v>48</v>
      </c>
      <c r="U445" s="196" t="str">
        <f t="shared" si="92"/>
        <v>2 Hrs</v>
      </c>
    </row>
    <row r="446" spans="3:21" s="185" customFormat="1" ht="20.25" customHeight="1">
      <c r="C446" s="198"/>
      <c r="D446" s="203">
        <f t="shared" si="86"/>
        <v>446</v>
      </c>
      <c r="E446" s="207" t="s">
        <v>442</v>
      </c>
      <c r="F446" s="211">
        <f t="shared" si="89"/>
        <v>445</v>
      </c>
      <c r="G446" s="206" t="s">
        <v>115</v>
      </c>
      <c r="H446" s="206"/>
      <c r="I446" s="224">
        <v>12</v>
      </c>
      <c r="J446" s="208" t="str">
        <f>J445</f>
        <v>1560 mm id</v>
      </c>
      <c r="K446" s="234">
        <v>1</v>
      </c>
      <c r="L446" s="208" t="s">
        <v>81</v>
      </c>
      <c r="M446" s="227">
        <f t="shared" ref="M446:M454" si="99">LEFT(J446,SEARCH(" ",J446,1)-1)*K446*3.142*0.001</f>
        <v>4.9015199999999997</v>
      </c>
      <c r="N446" s="208" t="s">
        <v>249</v>
      </c>
      <c r="O446" s="246">
        <f>VLOOKUP(I446,BM!$A$2:$X$104,17,FALSE)</f>
        <v>2.5</v>
      </c>
      <c r="P446" s="208" t="s">
        <v>112</v>
      </c>
      <c r="Q446" s="240">
        <f t="shared" si="90"/>
        <v>12.253799999999998</v>
      </c>
      <c r="R446" s="239">
        <v>1</v>
      </c>
      <c r="S446" s="240">
        <f t="shared" si="91"/>
        <v>13.25</v>
      </c>
      <c r="T446" s="216" t="s">
        <v>48</v>
      </c>
      <c r="U446" s="196" t="str">
        <f t="shared" si="92"/>
        <v>13.25 Hrs</v>
      </c>
    </row>
    <row r="447" spans="3:21" s="185" customFormat="1" ht="20.25" customHeight="1">
      <c r="C447" s="198"/>
      <c r="D447" s="203">
        <f t="shared" si="86"/>
        <v>447</v>
      </c>
      <c r="E447" s="207" t="s">
        <v>443</v>
      </c>
      <c r="F447" s="211">
        <f t="shared" si="89"/>
        <v>446</v>
      </c>
      <c r="G447" s="206" t="s">
        <v>61</v>
      </c>
      <c r="H447" s="206"/>
      <c r="I447" s="224">
        <v>18</v>
      </c>
      <c r="J447" s="208" t="str">
        <f>J446</f>
        <v>1560 mm id</v>
      </c>
      <c r="K447" s="234">
        <v>1</v>
      </c>
      <c r="L447" s="208" t="s">
        <v>81</v>
      </c>
      <c r="M447" s="227">
        <f t="shared" si="99"/>
        <v>4.9015199999999997</v>
      </c>
      <c r="N447" s="208" t="s">
        <v>249</v>
      </c>
      <c r="O447" s="246">
        <f>VLOOKUP(I447,BM!$A$2:$X$104,18,FALSE)</f>
        <v>1</v>
      </c>
      <c r="P447" s="208" t="s">
        <v>112</v>
      </c>
      <c r="Q447" s="240">
        <f t="shared" si="90"/>
        <v>4.9015199999999997</v>
      </c>
      <c r="R447" s="239">
        <v>1</v>
      </c>
      <c r="S447" s="240">
        <f t="shared" si="91"/>
        <v>5.9</v>
      </c>
      <c r="T447" s="216" t="s">
        <v>48</v>
      </c>
      <c r="U447" s="196" t="str">
        <f t="shared" si="92"/>
        <v>5.9 Hrs</v>
      </c>
    </row>
    <row r="448" spans="3:21" s="185" customFormat="1" ht="20.25" customHeight="1">
      <c r="C448" s="198"/>
      <c r="D448" s="203">
        <f t="shared" si="86"/>
        <v>448</v>
      </c>
      <c r="E448" s="207" t="s">
        <v>444</v>
      </c>
      <c r="F448" s="211">
        <f t="shared" si="89"/>
        <v>447</v>
      </c>
      <c r="G448" s="206" t="s">
        <v>115</v>
      </c>
      <c r="H448" s="206"/>
      <c r="I448" s="224">
        <v>8</v>
      </c>
      <c r="J448" s="208" t="str">
        <f>J447</f>
        <v>1560 mm id</v>
      </c>
      <c r="K448" s="234">
        <v>1</v>
      </c>
      <c r="L448" s="208" t="s">
        <v>81</v>
      </c>
      <c r="M448" s="227">
        <f t="shared" si="99"/>
        <v>4.9015199999999997</v>
      </c>
      <c r="N448" s="208" t="s">
        <v>249</v>
      </c>
      <c r="O448" s="246">
        <f>VLOOKUP(I448,BM!$A$2:$X$104,17,FALSE)</f>
        <v>1.36</v>
      </c>
      <c r="P448" s="208" t="s">
        <v>112</v>
      </c>
      <c r="Q448" s="240">
        <f t="shared" si="90"/>
        <v>6.6660671999999996</v>
      </c>
      <c r="R448" s="239">
        <v>1</v>
      </c>
      <c r="S448" s="240">
        <f t="shared" si="91"/>
        <v>7.67</v>
      </c>
      <c r="T448" s="216" t="s">
        <v>48</v>
      </c>
      <c r="U448" s="196" t="str">
        <f t="shared" si="92"/>
        <v>7.67 Hrs</v>
      </c>
    </row>
    <row r="449" spans="3:21" s="185" customFormat="1" ht="20.25" customHeight="1">
      <c r="C449" s="198"/>
      <c r="D449" s="203">
        <f t="shared" si="86"/>
        <v>449</v>
      </c>
      <c r="E449" s="207" t="s">
        <v>445</v>
      </c>
      <c r="F449" s="211">
        <f t="shared" si="89"/>
        <v>448</v>
      </c>
      <c r="G449" s="206" t="s">
        <v>61</v>
      </c>
      <c r="H449" s="206"/>
      <c r="I449" s="224">
        <v>18</v>
      </c>
      <c r="J449" s="208" t="str">
        <f>J448</f>
        <v>1560 mm id</v>
      </c>
      <c r="K449" s="234">
        <v>1</v>
      </c>
      <c r="L449" s="208" t="s">
        <v>81</v>
      </c>
      <c r="M449" s="227">
        <f t="shared" si="99"/>
        <v>4.9015199999999997</v>
      </c>
      <c r="N449" s="208" t="s">
        <v>249</v>
      </c>
      <c r="O449" s="246">
        <f>VLOOKUP(I449,BM!$A$2:$X$104,20,FALSE)</f>
        <v>0.5</v>
      </c>
      <c r="P449" s="208" t="s">
        <v>112</v>
      </c>
      <c r="Q449" s="240">
        <f t="shared" si="90"/>
        <v>2.4507599999999998</v>
      </c>
      <c r="R449" s="239">
        <v>1</v>
      </c>
      <c r="S449" s="240">
        <f t="shared" si="91"/>
        <v>3.45</v>
      </c>
      <c r="T449" s="216" t="s">
        <v>48</v>
      </c>
      <c r="U449" s="196" t="str">
        <f t="shared" si="92"/>
        <v>3.45 Hrs</v>
      </c>
    </row>
    <row r="450" spans="3:21" s="185" customFormat="1" ht="20.25" customHeight="1">
      <c r="C450" s="198">
        <f>D450</f>
        <v>450</v>
      </c>
      <c r="D450" s="203">
        <f t="shared" si="86"/>
        <v>450</v>
      </c>
      <c r="E450" s="209" t="s">
        <v>446</v>
      </c>
      <c r="F450" s="210">
        <f>D444</f>
        <v>444</v>
      </c>
      <c r="G450" s="206"/>
      <c r="H450" s="206"/>
      <c r="I450" s="208"/>
      <c r="J450" s="208"/>
      <c r="K450" s="234"/>
      <c r="L450" s="208"/>
      <c r="M450" s="217"/>
      <c r="N450" s="208"/>
      <c r="O450" s="218"/>
      <c r="P450" s="208"/>
      <c r="Q450" s="240"/>
      <c r="R450" s="239"/>
      <c r="S450" s="240"/>
      <c r="T450" s="216"/>
      <c r="U450" s="196"/>
    </row>
    <row r="451" spans="3:21" s="185" customFormat="1" ht="20.25" customHeight="1">
      <c r="C451" s="198"/>
      <c r="D451" s="203">
        <f t="shared" ref="D451:D514" si="100">D450+1</f>
        <v>451</v>
      </c>
      <c r="E451" s="207" t="s">
        <v>447</v>
      </c>
      <c r="F451" s="211"/>
      <c r="G451" s="206" t="s">
        <v>52</v>
      </c>
      <c r="H451" s="206"/>
      <c r="I451" s="224">
        <f>I445</f>
        <v>18</v>
      </c>
      <c r="J451" s="208" t="str">
        <f>J449</f>
        <v>1560 mm id</v>
      </c>
      <c r="K451" s="234">
        <v>1</v>
      </c>
      <c r="L451" s="208" t="s">
        <v>81</v>
      </c>
      <c r="M451" s="227">
        <f t="shared" si="99"/>
        <v>4.9015199999999997</v>
      </c>
      <c r="N451" s="208" t="s">
        <v>139</v>
      </c>
      <c r="O451" s="246">
        <f>VLOOKUP(I451,BM!$A$2:$X$104,14,FALSE)</f>
        <v>0.5</v>
      </c>
      <c r="P451" s="208" t="s">
        <v>112</v>
      </c>
      <c r="Q451" s="240">
        <f t="shared" si="90"/>
        <v>2.4507599999999998</v>
      </c>
      <c r="R451" s="239">
        <v>1</v>
      </c>
      <c r="S451" s="240">
        <f t="shared" si="91"/>
        <v>3.45</v>
      </c>
      <c r="T451" s="216" t="s">
        <v>48</v>
      </c>
      <c r="U451" s="196" t="str">
        <f t="shared" si="92"/>
        <v>3.45 Hrs</v>
      </c>
    </row>
    <row r="452" spans="3:21" s="185" customFormat="1" ht="20.25" customHeight="1">
      <c r="C452" s="198"/>
      <c r="D452" s="203">
        <f t="shared" si="100"/>
        <v>452</v>
      </c>
      <c r="E452" s="207" t="s">
        <v>437</v>
      </c>
      <c r="F452" s="211">
        <f t="shared" si="89"/>
        <v>451</v>
      </c>
      <c r="G452" s="206" t="s">
        <v>44</v>
      </c>
      <c r="H452" s="206"/>
      <c r="I452" s="224">
        <f>I446</f>
        <v>12</v>
      </c>
      <c r="J452" s="208" t="str">
        <f>J451</f>
        <v>1560 mm id</v>
      </c>
      <c r="K452" s="234">
        <v>1</v>
      </c>
      <c r="L452" s="208" t="s">
        <v>81</v>
      </c>
      <c r="M452" s="227">
        <f t="shared" si="99"/>
        <v>4.9015199999999997</v>
      </c>
      <c r="N452" s="208" t="s">
        <v>139</v>
      </c>
      <c r="O452" s="246">
        <f>VLOOKUP(I452,BM!$A$2:$X$104,15,FALSE)</f>
        <v>1</v>
      </c>
      <c r="P452" s="208" t="s">
        <v>112</v>
      </c>
      <c r="Q452" s="240">
        <f t="shared" si="90"/>
        <v>4.9015199999999997</v>
      </c>
      <c r="R452" s="239">
        <v>1</v>
      </c>
      <c r="S452" s="240">
        <f t="shared" si="91"/>
        <v>5.9</v>
      </c>
      <c r="T452" s="216" t="s">
        <v>48</v>
      </c>
      <c r="U452" s="196" t="str">
        <f t="shared" si="92"/>
        <v>5.9 Hrs</v>
      </c>
    </row>
    <row r="453" spans="3:21" s="185" customFormat="1" ht="20.25" customHeight="1">
      <c r="C453" s="198"/>
      <c r="D453" s="203">
        <f t="shared" si="100"/>
        <v>453</v>
      </c>
      <c r="E453" s="207" t="s">
        <v>448</v>
      </c>
      <c r="F453" s="211">
        <f t="shared" si="89"/>
        <v>452</v>
      </c>
      <c r="G453" s="206" t="s">
        <v>111</v>
      </c>
      <c r="H453" s="206"/>
      <c r="I453" s="224">
        <f>I448</f>
        <v>8</v>
      </c>
      <c r="J453" s="208" t="str">
        <f>J452</f>
        <v>1560 mm id</v>
      </c>
      <c r="K453" s="234">
        <v>1</v>
      </c>
      <c r="L453" s="208" t="s">
        <v>81</v>
      </c>
      <c r="M453" s="227">
        <f t="shared" si="99"/>
        <v>4.9015199999999997</v>
      </c>
      <c r="N453" s="208" t="s">
        <v>139</v>
      </c>
      <c r="O453" s="218">
        <v>4</v>
      </c>
      <c r="P453" s="208" t="s">
        <v>112</v>
      </c>
      <c r="Q453" s="240">
        <f t="shared" si="90"/>
        <v>19.606079999999999</v>
      </c>
      <c r="R453" s="239">
        <v>1</v>
      </c>
      <c r="S453" s="240">
        <f t="shared" si="91"/>
        <v>20.61</v>
      </c>
      <c r="T453" s="216" t="s">
        <v>48</v>
      </c>
      <c r="U453" s="196" t="str">
        <f t="shared" si="92"/>
        <v>20.61 Hrs</v>
      </c>
    </row>
    <row r="454" spans="3:21" s="185" customFormat="1" ht="20.25" customHeight="1">
      <c r="C454" s="198"/>
      <c r="D454" s="203">
        <f t="shared" si="100"/>
        <v>454</v>
      </c>
      <c r="E454" s="207" t="s">
        <v>439</v>
      </c>
      <c r="F454" s="211">
        <f t="shared" si="89"/>
        <v>453</v>
      </c>
      <c r="G454" s="206" t="s">
        <v>63</v>
      </c>
      <c r="H454" s="206"/>
      <c r="I454" s="224">
        <v>18</v>
      </c>
      <c r="J454" s="208" t="str">
        <f>J453</f>
        <v>1560 mm id</v>
      </c>
      <c r="K454" s="234">
        <v>1</v>
      </c>
      <c r="L454" s="208" t="s">
        <v>81</v>
      </c>
      <c r="M454" s="227">
        <f t="shared" si="99"/>
        <v>4.9015199999999997</v>
      </c>
      <c r="N454" s="208" t="s">
        <v>139</v>
      </c>
      <c r="O454" s="218">
        <v>0.5</v>
      </c>
      <c r="P454" s="208" t="s">
        <v>112</v>
      </c>
      <c r="Q454" s="240">
        <f t="shared" si="90"/>
        <v>2.4507599999999998</v>
      </c>
      <c r="R454" s="239">
        <v>1</v>
      </c>
      <c r="S454" s="240">
        <f t="shared" si="91"/>
        <v>3.45</v>
      </c>
      <c r="T454" s="216" t="s">
        <v>48</v>
      </c>
      <c r="U454" s="196" t="str">
        <f t="shared" si="92"/>
        <v>3.45 Hrs</v>
      </c>
    </row>
    <row r="455" spans="3:21" s="185" customFormat="1" ht="20.25" customHeight="1">
      <c r="C455" s="198">
        <f>D455</f>
        <v>455</v>
      </c>
      <c r="D455" s="203">
        <f t="shared" si="100"/>
        <v>455</v>
      </c>
      <c r="E455" s="209" t="s">
        <v>449</v>
      </c>
      <c r="F455" s="210">
        <f>D450</f>
        <v>450</v>
      </c>
      <c r="G455" s="208"/>
      <c r="H455" s="208"/>
      <c r="I455" s="208"/>
      <c r="J455" s="208"/>
      <c r="K455" s="234"/>
      <c r="L455" s="208"/>
      <c r="M455" s="217"/>
      <c r="N455" s="208"/>
      <c r="O455" s="218"/>
      <c r="P455" s="208"/>
      <c r="Q455" s="240"/>
      <c r="R455" s="239"/>
      <c r="S455" s="240"/>
      <c r="T455" s="216"/>
      <c r="U455" s="196"/>
    </row>
    <row r="456" spans="3:21" s="185" customFormat="1" ht="20.25" customHeight="1">
      <c r="C456" s="198"/>
      <c r="D456" s="203">
        <f t="shared" si="100"/>
        <v>456</v>
      </c>
      <c r="E456" s="207" t="s">
        <v>450</v>
      </c>
      <c r="F456" s="211"/>
      <c r="G456" s="206" t="s">
        <v>201</v>
      </c>
      <c r="H456" s="206"/>
      <c r="I456" s="224">
        <v>12</v>
      </c>
      <c r="J456" s="208" t="str">
        <f>J454</f>
        <v>1560 mm id</v>
      </c>
      <c r="K456" s="234">
        <v>1</v>
      </c>
      <c r="L456" s="208" t="s">
        <v>81</v>
      </c>
      <c r="M456" s="217">
        <v>1</v>
      </c>
      <c r="N456" s="208" t="s">
        <v>249</v>
      </c>
      <c r="O456" s="218">
        <v>1</v>
      </c>
      <c r="P456" s="208" t="s">
        <v>112</v>
      </c>
      <c r="Q456" s="240">
        <f t="shared" si="90"/>
        <v>1</v>
      </c>
      <c r="R456" s="239">
        <v>1</v>
      </c>
      <c r="S456" s="240">
        <f t="shared" si="91"/>
        <v>2</v>
      </c>
      <c r="T456" s="216" t="s">
        <v>48</v>
      </c>
      <c r="U456" s="196" t="str">
        <f t="shared" si="92"/>
        <v>2 Hrs</v>
      </c>
    </row>
    <row r="457" spans="3:21" s="185" customFormat="1" ht="20.25" customHeight="1">
      <c r="C457" s="198"/>
      <c r="D457" s="203">
        <f t="shared" si="100"/>
        <v>457</v>
      </c>
      <c r="E457" s="207" t="s">
        <v>451</v>
      </c>
      <c r="F457" s="211">
        <f t="shared" si="89"/>
        <v>456</v>
      </c>
      <c r="G457" s="206" t="s">
        <v>115</v>
      </c>
      <c r="H457" s="206"/>
      <c r="I457" s="224">
        <v>12</v>
      </c>
      <c r="J457" s="208" t="str">
        <f>J456</f>
        <v>1560 mm id</v>
      </c>
      <c r="K457" s="234">
        <v>1</v>
      </c>
      <c r="L457" s="208" t="s">
        <v>81</v>
      </c>
      <c r="M457" s="227">
        <f t="shared" ref="M457:M460" si="101">LEFT(J457,SEARCH(" ",J457,1)-1)*K457*3.142*0.001</f>
        <v>4.9015199999999997</v>
      </c>
      <c r="N457" s="208" t="s">
        <v>249</v>
      </c>
      <c r="O457" s="246">
        <f>VLOOKUP(I457,BM!$A$2:$X$104,17,FALSE)</f>
        <v>2.5</v>
      </c>
      <c r="P457" s="208" t="s">
        <v>112</v>
      </c>
      <c r="Q457" s="240">
        <f t="shared" si="90"/>
        <v>12.253799999999998</v>
      </c>
      <c r="R457" s="239">
        <v>1</v>
      </c>
      <c r="S457" s="240">
        <f t="shared" si="91"/>
        <v>13.25</v>
      </c>
      <c r="T457" s="216" t="s">
        <v>48</v>
      </c>
      <c r="U457" s="196" t="str">
        <f t="shared" si="92"/>
        <v>13.25 Hrs</v>
      </c>
    </row>
    <row r="458" spans="3:21" s="185" customFormat="1" ht="20.25" customHeight="1">
      <c r="C458" s="198"/>
      <c r="D458" s="203">
        <f t="shared" si="100"/>
        <v>458</v>
      </c>
      <c r="E458" s="207" t="s">
        <v>452</v>
      </c>
      <c r="F458" s="211">
        <f t="shared" si="89"/>
        <v>457</v>
      </c>
      <c r="G458" s="206" t="s">
        <v>61</v>
      </c>
      <c r="H458" s="206"/>
      <c r="I458" s="224">
        <v>18</v>
      </c>
      <c r="J458" s="208" t="str">
        <f>J457</f>
        <v>1560 mm id</v>
      </c>
      <c r="K458" s="234">
        <v>1</v>
      </c>
      <c r="L458" s="208" t="s">
        <v>81</v>
      </c>
      <c r="M458" s="227">
        <f t="shared" si="101"/>
        <v>4.9015199999999997</v>
      </c>
      <c r="N458" s="208" t="s">
        <v>249</v>
      </c>
      <c r="O458" s="246">
        <f>VLOOKUP(I458,BM!$A$2:$X$104,18,FALSE)</f>
        <v>1</v>
      </c>
      <c r="P458" s="208" t="s">
        <v>112</v>
      </c>
      <c r="Q458" s="240">
        <f t="shared" si="90"/>
        <v>4.9015199999999997</v>
      </c>
      <c r="R458" s="239">
        <v>1</v>
      </c>
      <c r="S458" s="240">
        <f t="shared" si="91"/>
        <v>5.9</v>
      </c>
      <c r="T458" s="216" t="s">
        <v>48</v>
      </c>
      <c r="U458" s="196" t="str">
        <f t="shared" si="92"/>
        <v>5.9 Hrs</v>
      </c>
    </row>
    <row r="459" spans="3:21" s="185" customFormat="1" ht="20.25" customHeight="1">
      <c r="C459" s="198"/>
      <c r="D459" s="203">
        <f t="shared" si="100"/>
        <v>459</v>
      </c>
      <c r="E459" s="207" t="s">
        <v>453</v>
      </c>
      <c r="F459" s="211">
        <f t="shared" si="89"/>
        <v>458</v>
      </c>
      <c r="G459" s="206" t="s">
        <v>115</v>
      </c>
      <c r="H459" s="206"/>
      <c r="I459" s="224">
        <v>6</v>
      </c>
      <c r="J459" s="208" t="str">
        <f>J458</f>
        <v>1560 mm id</v>
      </c>
      <c r="K459" s="234">
        <v>1</v>
      </c>
      <c r="L459" s="208" t="s">
        <v>81</v>
      </c>
      <c r="M459" s="227">
        <f t="shared" si="101"/>
        <v>4.9015199999999997</v>
      </c>
      <c r="N459" s="208" t="s">
        <v>249</v>
      </c>
      <c r="O459" s="246">
        <f>VLOOKUP(I459,BM!$A$2:$X$104,17,FALSE)</f>
        <v>0.9</v>
      </c>
      <c r="P459" s="208" t="s">
        <v>112</v>
      </c>
      <c r="Q459" s="240">
        <f t="shared" si="90"/>
        <v>4.4113679999999995</v>
      </c>
      <c r="R459" s="239">
        <v>1</v>
      </c>
      <c r="S459" s="240">
        <f t="shared" si="91"/>
        <v>5.41</v>
      </c>
      <c r="T459" s="216" t="s">
        <v>48</v>
      </c>
      <c r="U459" s="196" t="str">
        <f t="shared" si="92"/>
        <v>5.41 Hrs</v>
      </c>
    </row>
    <row r="460" spans="3:21" s="185" customFormat="1" ht="20.25" customHeight="1">
      <c r="C460" s="198"/>
      <c r="D460" s="203">
        <f t="shared" si="100"/>
        <v>460</v>
      </c>
      <c r="E460" s="207" t="s">
        <v>454</v>
      </c>
      <c r="F460" s="211">
        <f t="shared" si="89"/>
        <v>459</v>
      </c>
      <c r="G460" s="206" t="s">
        <v>61</v>
      </c>
      <c r="H460" s="206"/>
      <c r="I460" s="224">
        <v>18</v>
      </c>
      <c r="J460" s="208" t="str">
        <f>J459</f>
        <v>1560 mm id</v>
      </c>
      <c r="K460" s="234">
        <v>1</v>
      </c>
      <c r="L460" s="208" t="s">
        <v>81</v>
      </c>
      <c r="M460" s="227">
        <f t="shared" si="101"/>
        <v>4.9015199999999997</v>
      </c>
      <c r="N460" s="208" t="s">
        <v>249</v>
      </c>
      <c r="O460" s="246">
        <f>VLOOKUP(I460,BM!$A$2:$X$104,20,FALSE)</f>
        <v>0.5</v>
      </c>
      <c r="P460" s="208" t="s">
        <v>112</v>
      </c>
      <c r="Q460" s="240">
        <f t="shared" si="90"/>
        <v>2.4507599999999998</v>
      </c>
      <c r="R460" s="239">
        <v>1</v>
      </c>
      <c r="S460" s="240">
        <f t="shared" si="91"/>
        <v>3.45</v>
      </c>
      <c r="T460" s="216" t="s">
        <v>48</v>
      </c>
      <c r="U460" s="196" t="str">
        <f t="shared" si="92"/>
        <v>3.45 Hrs</v>
      </c>
    </row>
    <row r="461" spans="3:21" s="185" customFormat="1" ht="20.25" customHeight="1">
      <c r="C461" s="198">
        <f>D461</f>
        <v>461</v>
      </c>
      <c r="D461" s="203">
        <f t="shared" si="100"/>
        <v>461</v>
      </c>
      <c r="E461" s="209" t="s">
        <v>455</v>
      </c>
      <c r="F461" s="210">
        <f>C455</f>
        <v>455</v>
      </c>
      <c r="G461" s="206"/>
      <c r="H461" s="206"/>
      <c r="I461" s="208"/>
      <c r="J461" s="208"/>
      <c r="K461" s="234"/>
      <c r="L461" s="208"/>
      <c r="M461" s="217"/>
      <c r="N461" s="208"/>
      <c r="O461" s="218"/>
      <c r="P461" s="208"/>
      <c r="Q461" s="240"/>
      <c r="R461" s="239"/>
      <c r="S461" s="240"/>
      <c r="T461" s="216"/>
      <c r="U461" s="196"/>
    </row>
    <row r="462" spans="3:21" s="185" customFormat="1" ht="20.25" customHeight="1">
      <c r="C462" s="198"/>
      <c r="D462" s="203">
        <f t="shared" si="100"/>
        <v>462</v>
      </c>
      <c r="E462" s="207" t="s">
        <v>456</v>
      </c>
      <c r="F462" s="211"/>
      <c r="G462" s="206" t="s">
        <v>312</v>
      </c>
      <c r="H462" s="206"/>
      <c r="I462" s="224">
        <v>18</v>
      </c>
      <c r="J462" s="208" t="str">
        <f>J460</f>
        <v>1560 mm id</v>
      </c>
      <c r="K462" s="234">
        <v>1</v>
      </c>
      <c r="L462" s="208" t="s">
        <v>39</v>
      </c>
      <c r="M462" s="217">
        <v>1</v>
      </c>
      <c r="N462" s="208" t="s">
        <v>457</v>
      </c>
      <c r="O462" s="218">
        <v>1</v>
      </c>
      <c r="P462" s="208" t="s">
        <v>41</v>
      </c>
      <c r="Q462" s="240">
        <f t="shared" si="90"/>
        <v>1</v>
      </c>
      <c r="R462" s="239"/>
      <c r="S462" s="240">
        <f t="shared" si="91"/>
        <v>1</v>
      </c>
      <c r="T462" s="216" t="s">
        <v>42</v>
      </c>
      <c r="U462" s="196" t="str">
        <f t="shared" si="92"/>
        <v>1 Days</v>
      </c>
    </row>
    <row r="463" spans="3:21" s="185" customFormat="1" ht="20.25" customHeight="1">
      <c r="C463" s="198">
        <f>D463</f>
        <v>463</v>
      </c>
      <c r="D463" s="203">
        <f t="shared" si="100"/>
        <v>463</v>
      </c>
      <c r="E463" s="209" t="s">
        <v>458</v>
      </c>
      <c r="F463" s="210">
        <f>C461</f>
        <v>461</v>
      </c>
      <c r="G463" s="206"/>
      <c r="H463" s="206"/>
      <c r="I463" s="208"/>
      <c r="J463" s="208"/>
      <c r="K463" s="234"/>
      <c r="L463" s="208"/>
      <c r="M463" s="217"/>
      <c r="N463" s="208"/>
      <c r="O463" s="218"/>
      <c r="P463" s="208"/>
      <c r="Q463" s="240"/>
      <c r="R463" s="239"/>
      <c r="S463" s="240"/>
      <c r="T463" s="216"/>
      <c r="U463" s="196"/>
    </row>
    <row r="464" spans="3:21" s="185" customFormat="1" ht="20.25" customHeight="1">
      <c r="C464" s="198"/>
      <c r="D464" s="203">
        <f t="shared" si="100"/>
        <v>464</v>
      </c>
      <c r="E464" s="207" t="s">
        <v>459</v>
      </c>
      <c r="F464" s="211"/>
      <c r="G464" s="206" t="s">
        <v>44</v>
      </c>
      <c r="H464" s="206"/>
      <c r="I464" s="224">
        <v>18</v>
      </c>
      <c r="J464" s="208" t="str">
        <f>J462</f>
        <v>1560 mm id</v>
      </c>
      <c r="K464" s="234">
        <v>1</v>
      </c>
      <c r="L464" s="208" t="s">
        <v>81</v>
      </c>
      <c r="M464" s="217">
        <v>1</v>
      </c>
      <c r="N464" s="208" t="s">
        <v>81</v>
      </c>
      <c r="O464" s="218">
        <v>4</v>
      </c>
      <c r="P464" s="208" t="s">
        <v>112</v>
      </c>
      <c r="Q464" s="240">
        <f t="shared" si="90"/>
        <v>4</v>
      </c>
      <c r="R464" s="239">
        <v>1</v>
      </c>
      <c r="S464" s="240">
        <f t="shared" si="91"/>
        <v>5</v>
      </c>
      <c r="T464" s="216" t="s">
        <v>48</v>
      </c>
      <c r="U464" s="196" t="str">
        <f t="shared" si="92"/>
        <v>5 Hrs</v>
      </c>
    </row>
    <row r="465" spans="3:21" s="185" customFormat="1" ht="20.25" customHeight="1">
      <c r="C465" s="198"/>
      <c r="D465" s="203">
        <f t="shared" si="100"/>
        <v>465</v>
      </c>
      <c r="E465" s="207" t="s">
        <v>460</v>
      </c>
      <c r="F465" s="211">
        <f t="shared" si="89"/>
        <v>464</v>
      </c>
      <c r="G465" s="206" t="s">
        <v>44</v>
      </c>
      <c r="H465" s="206"/>
      <c r="I465" s="224">
        <v>18</v>
      </c>
      <c r="J465" s="208" t="str">
        <f>J464</f>
        <v>1560 mm id</v>
      </c>
      <c r="K465" s="234">
        <v>1</v>
      </c>
      <c r="L465" s="208" t="s">
        <v>81</v>
      </c>
      <c r="M465" s="217">
        <v>1</v>
      </c>
      <c r="N465" s="208" t="s">
        <v>81</v>
      </c>
      <c r="O465" s="218">
        <v>4</v>
      </c>
      <c r="P465" s="208" t="s">
        <v>112</v>
      </c>
      <c r="Q465" s="240">
        <f t="shared" si="90"/>
        <v>4</v>
      </c>
      <c r="R465" s="239">
        <v>1</v>
      </c>
      <c r="S465" s="240">
        <f t="shared" si="91"/>
        <v>5</v>
      </c>
      <c r="T465" s="216" t="s">
        <v>48</v>
      </c>
      <c r="U465" s="196" t="str">
        <f t="shared" si="92"/>
        <v>5 Hrs</v>
      </c>
    </row>
    <row r="466" spans="3:21" s="185" customFormat="1" ht="20.25" customHeight="1">
      <c r="C466" s="198">
        <f>D466</f>
        <v>466</v>
      </c>
      <c r="D466" s="203">
        <f t="shared" si="100"/>
        <v>466</v>
      </c>
      <c r="E466" s="209" t="s">
        <v>461</v>
      </c>
      <c r="F466" s="210">
        <f>C463</f>
        <v>463</v>
      </c>
      <c r="G466" s="206"/>
      <c r="H466" s="206"/>
      <c r="I466" s="208"/>
      <c r="J466" s="208"/>
      <c r="K466" s="234"/>
      <c r="L466" s="208"/>
      <c r="M466" s="217"/>
      <c r="N466" s="208"/>
      <c r="O466" s="218"/>
      <c r="P466" s="208"/>
      <c r="Q466" s="240"/>
      <c r="R466" s="239"/>
      <c r="S466" s="240"/>
      <c r="T466" s="216"/>
      <c r="U466" s="196"/>
    </row>
    <row r="467" spans="3:21" s="185" customFormat="1" ht="20.25" customHeight="1">
      <c r="C467" s="198"/>
      <c r="D467" s="203">
        <f t="shared" si="100"/>
        <v>467</v>
      </c>
      <c r="E467" s="207" t="s">
        <v>462</v>
      </c>
      <c r="F467" s="211"/>
      <c r="G467" s="206" t="s">
        <v>52</v>
      </c>
      <c r="H467" s="206"/>
      <c r="I467" s="208"/>
      <c r="J467" s="234" t="s">
        <v>463</v>
      </c>
      <c r="K467" s="234">
        <v>1</v>
      </c>
      <c r="L467" s="208" t="s">
        <v>39</v>
      </c>
      <c r="M467" s="217">
        <v>1</v>
      </c>
      <c r="N467" s="208"/>
      <c r="O467" s="246">
        <f>VLOOKUP(J467,BM!$A$2:$X$104,2,FALSE)</f>
        <v>2</v>
      </c>
      <c r="P467" s="208" t="s">
        <v>112</v>
      </c>
      <c r="Q467" s="240">
        <f t="shared" si="90"/>
        <v>2</v>
      </c>
      <c r="R467" s="239">
        <v>1</v>
      </c>
      <c r="S467" s="240">
        <f t="shared" si="91"/>
        <v>3</v>
      </c>
      <c r="T467" s="216" t="s">
        <v>48</v>
      </c>
      <c r="U467" s="196" t="str">
        <f t="shared" si="92"/>
        <v>3 Hrs</v>
      </c>
    </row>
    <row r="468" spans="3:21" s="185" customFormat="1" ht="20.25" customHeight="1">
      <c r="C468" s="198"/>
      <c r="D468" s="203">
        <f t="shared" si="100"/>
        <v>468</v>
      </c>
      <c r="E468" s="207" t="s">
        <v>464</v>
      </c>
      <c r="F468" s="211">
        <f t="shared" si="89"/>
        <v>467</v>
      </c>
      <c r="G468" s="206" t="s">
        <v>52</v>
      </c>
      <c r="H468" s="206"/>
      <c r="I468" s="208"/>
      <c r="J468" s="234" t="s">
        <v>463</v>
      </c>
      <c r="K468" s="234">
        <v>1</v>
      </c>
      <c r="L468" s="208" t="s">
        <v>39</v>
      </c>
      <c r="M468" s="217">
        <v>1</v>
      </c>
      <c r="N468" s="208"/>
      <c r="O468" s="246">
        <f>VLOOKUP(J468,BM!$A$2:$X$104,2,FALSE)</f>
        <v>2</v>
      </c>
      <c r="P468" s="208" t="s">
        <v>112</v>
      </c>
      <c r="Q468" s="240">
        <f t="shared" si="90"/>
        <v>2</v>
      </c>
      <c r="R468" s="239">
        <v>1</v>
      </c>
      <c r="S468" s="240">
        <f t="shared" si="91"/>
        <v>3</v>
      </c>
      <c r="T468" s="216" t="s">
        <v>48</v>
      </c>
      <c r="U468" s="196" t="str">
        <f t="shared" si="92"/>
        <v>3 Hrs</v>
      </c>
    </row>
    <row r="469" spans="3:21" s="185" customFormat="1" ht="20.25" customHeight="1">
      <c r="C469" s="198">
        <f>D469</f>
        <v>469</v>
      </c>
      <c r="D469" s="203">
        <f t="shared" si="100"/>
        <v>469</v>
      </c>
      <c r="E469" s="209" t="s">
        <v>465</v>
      </c>
      <c r="F469" s="210">
        <f>C466</f>
        <v>466</v>
      </c>
      <c r="G469" s="206"/>
      <c r="H469" s="206"/>
      <c r="I469" s="208"/>
      <c r="J469" s="208"/>
      <c r="K469" s="234"/>
      <c r="L469" s="208"/>
      <c r="M469" s="217"/>
      <c r="N469" s="208"/>
      <c r="O469" s="218"/>
      <c r="P469" s="208"/>
      <c r="Q469" s="240"/>
      <c r="R469" s="239"/>
      <c r="S469" s="240"/>
      <c r="T469" s="216"/>
      <c r="U469" s="196"/>
    </row>
    <row r="470" spans="3:21" s="185" customFormat="1" ht="20.25" customHeight="1">
      <c r="C470" s="198"/>
      <c r="D470" s="203">
        <f t="shared" si="100"/>
        <v>470</v>
      </c>
      <c r="E470" s="207" t="s">
        <v>466</v>
      </c>
      <c r="F470" s="211"/>
      <c r="G470" s="206" t="s">
        <v>121</v>
      </c>
      <c r="H470" s="206"/>
      <c r="I470" s="208"/>
      <c r="J470" s="208" t="str">
        <f>J468</f>
        <v>400nb</v>
      </c>
      <c r="K470" s="234">
        <v>1</v>
      </c>
      <c r="L470" s="208" t="s">
        <v>39</v>
      </c>
      <c r="M470" s="217">
        <v>1</v>
      </c>
      <c r="N470" s="208"/>
      <c r="O470" s="246">
        <f>VLOOKUP(J470,BM!$A$2:$X$104,4,FALSE)</f>
        <v>2.5538175999999999</v>
      </c>
      <c r="P470" s="208" t="s">
        <v>112</v>
      </c>
      <c r="Q470" s="240">
        <f t="shared" si="90"/>
        <v>2.5538175999999999</v>
      </c>
      <c r="R470" s="239">
        <v>1</v>
      </c>
      <c r="S470" s="240">
        <f t="shared" si="91"/>
        <v>3.55</v>
      </c>
      <c r="T470" s="216" t="s">
        <v>48</v>
      </c>
      <c r="U470" s="196" t="str">
        <f t="shared" si="92"/>
        <v>3.55 Hrs</v>
      </c>
    </row>
    <row r="471" spans="3:21" s="185" customFormat="1" ht="20.25" customHeight="1">
      <c r="C471" s="198"/>
      <c r="D471" s="203">
        <f t="shared" si="100"/>
        <v>471</v>
      </c>
      <c r="E471" s="207" t="s">
        <v>467</v>
      </c>
      <c r="F471" s="211">
        <f t="shared" si="89"/>
        <v>470</v>
      </c>
      <c r="G471" s="206" t="s">
        <v>121</v>
      </c>
      <c r="H471" s="206"/>
      <c r="I471" s="208"/>
      <c r="J471" s="208" t="str">
        <f>J468</f>
        <v>400nb</v>
      </c>
      <c r="K471" s="234">
        <v>1</v>
      </c>
      <c r="L471" s="208" t="s">
        <v>39</v>
      </c>
      <c r="M471" s="217">
        <v>1</v>
      </c>
      <c r="N471" s="208"/>
      <c r="O471" s="246">
        <f>VLOOKUP(J471,BM!$A$2:$X$104,4,FALSE)</f>
        <v>2.5538175999999999</v>
      </c>
      <c r="P471" s="208" t="s">
        <v>112</v>
      </c>
      <c r="Q471" s="240">
        <f t="shared" si="90"/>
        <v>2.5538175999999999</v>
      </c>
      <c r="R471" s="239">
        <v>1</v>
      </c>
      <c r="S471" s="240">
        <f t="shared" si="91"/>
        <v>3.55</v>
      </c>
      <c r="T471" s="216" t="s">
        <v>48</v>
      </c>
      <c r="U471" s="196" t="str">
        <f t="shared" si="92"/>
        <v>3.55 Hrs</v>
      </c>
    </row>
    <row r="472" spans="3:21" s="185" customFormat="1" ht="20.25" customHeight="1">
      <c r="C472" s="198">
        <f>D472</f>
        <v>472</v>
      </c>
      <c r="D472" s="203">
        <f t="shared" si="100"/>
        <v>472</v>
      </c>
      <c r="E472" s="209" t="s">
        <v>468</v>
      </c>
      <c r="F472" s="210">
        <f>C469</f>
        <v>469</v>
      </c>
      <c r="G472" s="206"/>
      <c r="H472" s="206"/>
      <c r="I472" s="208"/>
      <c r="J472" s="208"/>
      <c r="K472" s="234"/>
      <c r="L472" s="208"/>
      <c r="M472" s="217"/>
      <c r="N472" s="208"/>
      <c r="O472" s="218"/>
      <c r="P472" s="208"/>
      <c r="Q472" s="240"/>
      <c r="R472" s="239"/>
      <c r="S472" s="240"/>
      <c r="T472" s="216"/>
      <c r="U472" s="196"/>
    </row>
    <row r="473" spans="3:21" s="185" customFormat="1" ht="20.25" customHeight="1">
      <c r="C473" s="198"/>
      <c r="D473" s="203">
        <f t="shared" si="100"/>
        <v>473</v>
      </c>
      <c r="E473" s="207" t="s">
        <v>469</v>
      </c>
      <c r="F473" s="211"/>
      <c r="G473" s="206" t="s">
        <v>111</v>
      </c>
      <c r="H473" s="206"/>
      <c r="I473" s="208"/>
      <c r="J473" s="208" t="s">
        <v>463</v>
      </c>
      <c r="K473" s="234">
        <v>1</v>
      </c>
      <c r="L473" s="208" t="s">
        <v>39</v>
      </c>
      <c r="M473" s="217">
        <v>1</v>
      </c>
      <c r="N473" s="208" t="s">
        <v>39</v>
      </c>
      <c r="O473" s="246">
        <f>VLOOKUP(J473,BM!$A$2:$X$104,5,FALSE)</f>
        <v>2</v>
      </c>
      <c r="P473" s="208" t="s">
        <v>112</v>
      </c>
      <c r="Q473" s="240">
        <f t="shared" si="90"/>
        <v>2</v>
      </c>
      <c r="R473" s="239">
        <v>1</v>
      </c>
      <c r="S473" s="240">
        <f t="shared" si="91"/>
        <v>3</v>
      </c>
      <c r="T473" s="216" t="s">
        <v>48</v>
      </c>
      <c r="U473" s="196" t="str">
        <f t="shared" si="92"/>
        <v>3 Hrs</v>
      </c>
    </row>
    <row r="474" spans="3:21" s="185" customFormat="1" ht="20.25" customHeight="1">
      <c r="C474" s="198"/>
      <c r="D474" s="203">
        <f t="shared" si="100"/>
        <v>474</v>
      </c>
      <c r="E474" s="207" t="s">
        <v>470</v>
      </c>
      <c r="F474" s="211">
        <f t="shared" si="89"/>
        <v>473</v>
      </c>
      <c r="G474" s="206" t="s">
        <v>111</v>
      </c>
      <c r="H474" s="206"/>
      <c r="I474" s="208"/>
      <c r="J474" s="208" t="s">
        <v>463</v>
      </c>
      <c r="K474" s="234">
        <v>1</v>
      </c>
      <c r="L474" s="208" t="s">
        <v>39</v>
      </c>
      <c r="M474" s="217">
        <v>1</v>
      </c>
      <c r="N474" s="208" t="s">
        <v>39</v>
      </c>
      <c r="O474" s="246">
        <f>VLOOKUP(J474,BM!$A$2:$X$104,5,FALSE)</f>
        <v>2</v>
      </c>
      <c r="P474" s="208" t="s">
        <v>112</v>
      </c>
      <c r="Q474" s="240">
        <f t="shared" si="90"/>
        <v>2</v>
      </c>
      <c r="R474" s="239">
        <v>1</v>
      </c>
      <c r="S474" s="240">
        <f t="shared" si="91"/>
        <v>3</v>
      </c>
      <c r="T474" s="216" t="s">
        <v>48</v>
      </c>
      <c r="U474" s="196" t="str">
        <f t="shared" si="92"/>
        <v>3 Hrs</v>
      </c>
    </row>
    <row r="475" spans="3:21" s="185" customFormat="1" ht="20.25" customHeight="1">
      <c r="C475" s="198">
        <f>D475</f>
        <v>475</v>
      </c>
      <c r="D475" s="203">
        <f t="shared" si="100"/>
        <v>475</v>
      </c>
      <c r="E475" s="209" t="s">
        <v>471</v>
      </c>
      <c r="F475" s="210">
        <f>C472</f>
        <v>472</v>
      </c>
      <c r="G475" s="206"/>
      <c r="H475" s="206"/>
      <c r="I475" s="208"/>
      <c r="J475" s="208"/>
      <c r="K475" s="234"/>
      <c r="L475" s="208"/>
      <c r="M475" s="217"/>
      <c r="N475" s="208"/>
      <c r="O475" s="218"/>
      <c r="P475" s="208"/>
      <c r="Q475" s="240"/>
      <c r="R475" s="239"/>
      <c r="S475" s="240"/>
      <c r="T475" s="216"/>
      <c r="U475" s="196"/>
    </row>
    <row r="476" spans="3:21" s="185" customFormat="1" ht="20.25" customHeight="1">
      <c r="C476" s="198"/>
      <c r="D476" s="203">
        <f t="shared" si="100"/>
        <v>476</v>
      </c>
      <c r="E476" s="207" t="s">
        <v>472</v>
      </c>
      <c r="F476" s="211"/>
      <c r="G476" s="206" t="s">
        <v>44</v>
      </c>
      <c r="H476" s="206"/>
      <c r="I476" s="208"/>
      <c r="J476" s="208" t="s">
        <v>463</v>
      </c>
      <c r="K476" s="234">
        <v>1</v>
      </c>
      <c r="L476" s="208" t="s">
        <v>39</v>
      </c>
      <c r="M476" s="217">
        <v>1</v>
      </c>
      <c r="N476" s="208" t="s">
        <v>39</v>
      </c>
      <c r="O476" s="218">
        <v>1</v>
      </c>
      <c r="P476" s="208" t="s">
        <v>112</v>
      </c>
      <c r="Q476" s="240">
        <f t="shared" ref="Q476:Q539" si="102">M476*O476</f>
        <v>1</v>
      </c>
      <c r="R476" s="239">
        <v>1</v>
      </c>
      <c r="S476" s="240">
        <f t="shared" si="91"/>
        <v>2</v>
      </c>
      <c r="T476" s="216" t="s">
        <v>48</v>
      </c>
      <c r="U476" s="196" t="str">
        <f t="shared" ref="U476:U539" si="103">CONCATENATE(S476," ",T476)</f>
        <v>2 Hrs</v>
      </c>
    </row>
    <row r="477" spans="3:21" s="185" customFormat="1" ht="20.25" customHeight="1">
      <c r="C477" s="198"/>
      <c r="D477" s="203">
        <f t="shared" si="100"/>
        <v>477</v>
      </c>
      <c r="E477" s="207" t="s">
        <v>473</v>
      </c>
      <c r="F477" s="211">
        <f t="shared" ref="F477:F540" si="104">D476</f>
        <v>476</v>
      </c>
      <c r="G477" s="206" t="s">
        <v>44</v>
      </c>
      <c r="H477" s="206"/>
      <c r="I477" s="208"/>
      <c r="J477" s="208" t="s">
        <v>463</v>
      </c>
      <c r="K477" s="234">
        <v>1</v>
      </c>
      <c r="L477" s="208" t="s">
        <v>39</v>
      </c>
      <c r="M477" s="217">
        <v>1</v>
      </c>
      <c r="N477" s="208" t="s">
        <v>39</v>
      </c>
      <c r="O477" s="218">
        <v>1</v>
      </c>
      <c r="P477" s="208" t="s">
        <v>112</v>
      </c>
      <c r="Q477" s="240">
        <f t="shared" si="102"/>
        <v>1</v>
      </c>
      <c r="R477" s="239">
        <v>1</v>
      </c>
      <c r="S477" s="240">
        <f t="shared" ref="S477:S540" si="105">ROUND(Q477+R477,2)</f>
        <v>2</v>
      </c>
      <c r="T477" s="216" t="s">
        <v>48</v>
      </c>
      <c r="U477" s="196" t="str">
        <f t="shared" si="103"/>
        <v>2 Hrs</v>
      </c>
    </row>
    <row r="478" spans="3:21" s="185" customFormat="1" ht="20.25" customHeight="1">
      <c r="C478" s="198">
        <f>D478</f>
        <v>478</v>
      </c>
      <c r="D478" s="203">
        <f t="shared" si="100"/>
        <v>478</v>
      </c>
      <c r="E478" s="209" t="s">
        <v>474</v>
      </c>
      <c r="F478" s="210">
        <f>C475</f>
        <v>475</v>
      </c>
      <c r="G478" s="206"/>
      <c r="H478" s="206"/>
      <c r="I478" s="208"/>
      <c r="J478" s="208"/>
      <c r="K478" s="234"/>
      <c r="L478" s="208"/>
      <c r="M478" s="217"/>
      <c r="N478" s="208"/>
      <c r="O478" s="218"/>
      <c r="P478" s="208"/>
      <c r="Q478" s="240"/>
      <c r="R478" s="239"/>
      <c r="S478" s="240"/>
      <c r="T478" s="216"/>
      <c r="U478" s="196"/>
    </row>
    <row r="479" spans="3:21" s="185" customFormat="1" ht="20.25" customHeight="1">
      <c r="C479" s="198"/>
      <c r="D479" s="203">
        <f t="shared" si="100"/>
        <v>479</v>
      </c>
      <c r="E479" s="207" t="s">
        <v>475</v>
      </c>
      <c r="F479" s="211"/>
      <c r="G479" s="206" t="s">
        <v>201</v>
      </c>
      <c r="H479" s="206"/>
      <c r="I479" s="208"/>
      <c r="J479" s="208" t="s">
        <v>463</v>
      </c>
      <c r="K479" s="234">
        <v>2</v>
      </c>
      <c r="L479" s="208" t="s">
        <v>81</v>
      </c>
      <c r="M479" s="217">
        <v>1</v>
      </c>
      <c r="N479" s="208" t="s">
        <v>39</v>
      </c>
      <c r="O479" s="218">
        <v>0.5</v>
      </c>
      <c r="P479" s="208" t="s">
        <v>112</v>
      </c>
      <c r="Q479" s="240">
        <f t="shared" si="102"/>
        <v>0.5</v>
      </c>
      <c r="R479" s="239">
        <v>1</v>
      </c>
      <c r="S479" s="240">
        <f t="shared" si="105"/>
        <v>1.5</v>
      </c>
      <c r="T479" s="216" t="s">
        <v>48</v>
      </c>
      <c r="U479" s="196" t="str">
        <f t="shared" si="103"/>
        <v>1.5 Hrs</v>
      </c>
    </row>
    <row r="480" spans="3:21" s="185" customFormat="1" ht="20.25" customHeight="1">
      <c r="C480" s="198"/>
      <c r="D480" s="203">
        <f t="shared" si="100"/>
        <v>480</v>
      </c>
      <c r="E480" s="207" t="s">
        <v>476</v>
      </c>
      <c r="F480" s="211">
        <f t="shared" si="104"/>
        <v>479</v>
      </c>
      <c r="G480" s="206" t="s">
        <v>115</v>
      </c>
      <c r="H480" s="206"/>
      <c r="I480" s="224">
        <v>14</v>
      </c>
      <c r="J480" s="234" t="s">
        <v>477</v>
      </c>
      <c r="K480" s="234">
        <v>1</v>
      </c>
      <c r="L480" s="208" t="s">
        <v>39</v>
      </c>
      <c r="M480" s="235">
        <f>16*25.4*3.142*K480/1000</f>
        <v>1.2769088</v>
      </c>
      <c r="N480" s="208" t="s">
        <v>249</v>
      </c>
      <c r="O480" s="246">
        <f>VLOOKUP(I480,BM!$A$2:$X$104,17,FALSE)</f>
        <v>3.22</v>
      </c>
      <c r="P480" s="208" t="s">
        <v>112</v>
      </c>
      <c r="Q480" s="240">
        <f t="shared" si="102"/>
        <v>4.1116463359999997</v>
      </c>
      <c r="R480" s="239">
        <v>1</v>
      </c>
      <c r="S480" s="240">
        <f t="shared" si="105"/>
        <v>5.1100000000000003</v>
      </c>
      <c r="T480" s="216" t="s">
        <v>48</v>
      </c>
      <c r="U480" s="196" t="str">
        <f t="shared" si="103"/>
        <v>5.11 Hrs</v>
      </c>
    </row>
    <row r="481" spans="3:21" s="185" customFormat="1" ht="20.25" customHeight="1">
      <c r="C481" s="198"/>
      <c r="D481" s="203">
        <f t="shared" si="100"/>
        <v>481</v>
      </c>
      <c r="E481" s="207" t="s">
        <v>478</v>
      </c>
      <c r="F481" s="211">
        <f t="shared" si="104"/>
        <v>480</v>
      </c>
      <c r="G481" s="206" t="s">
        <v>115</v>
      </c>
      <c r="H481" s="206"/>
      <c r="I481" s="224">
        <v>14</v>
      </c>
      <c r="J481" s="234" t="s">
        <v>477</v>
      </c>
      <c r="K481" s="234">
        <v>1</v>
      </c>
      <c r="L481" s="208" t="s">
        <v>39</v>
      </c>
      <c r="M481" s="235">
        <f>16*25.4*3.142*K481/1000</f>
        <v>1.2769088</v>
      </c>
      <c r="N481" s="208" t="s">
        <v>249</v>
      </c>
      <c r="O481" s="246">
        <f>VLOOKUP(I481,BM!$A$2:$X$104,17,FALSE)</f>
        <v>3.22</v>
      </c>
      <c r="P481" s="208" t="s">
        <v>112</v>
      </c>
      <c r="Q481" s="240">
        <f t="shared" si="102"/>
        <v>4.1116463359999997</v>
      </c>
      <c r="R481" s="239">
        <v>1</v>
      </c>
      <c r="S481" s="240">
        <f t="shared" si="105"/>
        <v>5.1100000000000003</v>
      </c>
      <c r="T481" s="216" t="s">
        <v>48</v>
      </c>
      <c r="U481" s="196" t="str">
        <f t="shared" si="103"/>
        <v>5.11 Hrs</v>
      </c>
    </row>
    <row r="482" spans="3:21" s="185" customFormat="1" ht="20.25" customHeight="1">
      <c r="C482" s="198"/>
      <c r="D482" s="203">
        <f t="shared" si="100"/>
        <v>482</v>
      </c>
      <c r="E482" s="207" t="s">
        <v>479</v>
      </c>
      <c r="F482" s="211">
        <f t="shared" si="104"/>
        <v>481</v>
      </c>
      <c r="G482" s="206" t="s">
        <v>115</v>
      </c>
      <c r="H482" s="206"/>
      <c r="I482" s="224">
        <v>14</v>
      </c>
      <c r="J482" s="234" t="s">
        <v>477</v>
      </c>
      <c r="K482" s="234">
        <v>2</v>
      </c>
      <c r="L482" s="208" t="s">
        <v>39</v>
      </c>
      <c r="M482" s="217">
        <v>2</v>
      </c>
      <c r="N482" s="208" t="s">
        <v>81</v>
      </c>
      <c r="O482" s="218">
        <v>1</v>
      </c>
      <c r="P482" s="208" t="s">
        <v>112</v>
      </c>
      <c r="Q482" s="240">
        <f t="shared" si="102"/>
        <v>2</v>
      </c>
      <c r="R482" s="239">
        <v>1</v>
      </c>
      <c r="S482" s="240">
        <f t="shared" si="105"/>
        <v>3</v>
      </c>
      <c r="T482" s="216" t="s">
        <v>48</v>
      </c>
      <c r="U482" s="196" t="str">
        <f t="shared" si="103"/>
        <v>3 Hrs</v>
      </c>
    </row>
    <row r="483" spans="3:21" s="185" customFormat="1" ht="20.25" customHeight="1">
      <c r="C483" s="198"/>
      <c r="D483" s="203">
        <f t="shared" si="100"/>
        <v>483</v>
      </c>
      <c r="E483" s="207" t="s">
        <v>480</v>
      </c>
      <c r="F483" s="211">
        <f t="shared" si="104"/>
        <v>482</v>
      </c>
      <c r="G483" s="206" t="s">
        <v>115</v>
      </c>
      <c r="H483" s="206"/>
      <c r="I483" s="224">
        <v>6</v>
      </c>
      <c r="J483" s="234" t="s">
        <v>477</v>
      </c>
      <c r="K483" s="234">
        <v>1</v>
      </c>
      <c r="L483" s="208" t="s">
        <v>39</v>
      </c>
      <c r="M483" s="235">
        <f>16*25.4*3.142*K483/1000</f>
        <v>1.2769088</v>
      </c>
      <c r="N483" s="208" t="s">
        <v>249</v>
      </c>
      <c r="O483" s="246">
        <f>VLOOKUP(I483,BM!$A$2:$X$104,17,FALSE)</f>
        <v>0.9</v>
      </c>
      <c r="P483" s="208" t="s">
        <v>112</v>
      </c>
      <c r="Q483" s="240">
        <f t="shared" si="102"/>
        <v>1.1492179199999999</v>
      </c>
      <c r="R483" s="239">
        <v>1</v>
      </c>
      <c r="S483" s="240">
        <f t="shared" si="105"/>
        <v>2.15</v>
      </c>
      <c r="T483" s="216" t="s">
        <v>48</v>
      </c>
      <c r="U483" s="196" t="str">
        <f t="shared" si="103"/>
        <v>2.15 Hrs</v>
      </c>
    </row>
    <row r="484" spans="3:21" s="185" customFormat="1" ht="20.25" customHeight="1">
      <c r="C484" s="198"/>
      <c r="D484" s="203">
        <f t="shared" si="100"/>
        <v>484</v>
      </c>
      <c r="E484" s="207" t="s">
        <v>481</v>
      </c>
      <c r="F484" s="211">
        <f t="shared" si="104"/>
        <v>483</v>
      </c>
      <c r="G484" s="206" t="s">
        <v>115</v>
      </c>
      <c r="H484" s="206"/>
      <c r="I484" s="224">
        <v>6</v>
      </c>
      <c r="J484" s="234" t="s">
        <v>477</v>
      </c>
      <c r="K484" s="234">
        <v>1</v>
      </c>
      <c r="L484" s="208" t="s">
        <v>39</v>
      </c>
      <c r="M484" s="235">
        <f>16*25.4*3.142*K484/1000</f>
        <v>1.2769088</v>
      </c>
      <c r="N484" s="208" t="s">
        <v>249</v>
      </c>
      <c r="O484" s="246">
        <f>VLOOKUP(I484,BM!$A$2:$X$104,17,FALSE)</f>
        <v>0.9</v>
      </c>
      <c r="P484" s="208" t="s">
        <v>112</v>
      </c>
      <c r="Q484" s="240">
        <f t="shared" si="102"/>
        <v>1.1492179199999999</v>
      </c>
      <c r="R484" s="239">
        <v>1</v>
      </c>
      <c r="S484" s="240">
        <f t="shared" si="105"/>
        <v>2.15</v>
      </c>
      <c r="T484" s="216" t="s">
        <v>48</v>
      </c>
      <c r="U484" s="196" t="str">
        <f t="shared" si="103"/>
        <v>2.15 Hrs</v>
      </c>
    </row>
    <row r="485" spans="3:21" s="185" customFormat="1" ht="20.25" customHeight="1">
      <c r="C485" s="198"/>
      <c r="D485" s="203">
        <f t="shared" si="100"/>
        <v>485</v>
      </c>
      <c r="E485" s="207" t="s">
        <v>482</v>
      </c>
      <c r="F485" s="211">
        <f t="shared" si="104"/>
        <v>484</v>
      </c>
      <c r="G485" s="206" t="s">
        <v>115</v>
      </c>
      <c r="H485" s="206"/>
      <c r="I485" s="208"/>
      <c r="J485" s="234" t="s">
        <v>463</v>
      </c>
      <c r="K485" s="234">
        <v>2</v>
      </c>
      <c r="L485" s="208" t="s">
        <v>39</v>
      </c>
      <c r="M485" s="217">
        <v>2</v>
      </c>
      <c r="N485" s="208" t="s">
        <v>84</v>
      </c>
      <c r="O485" s="246">
        <f>VLOOKUP(J485,BM!$A$2:$X$104,11,FALSE)</f>
        <v>4</v>
      </c>
      <c r="P485" s="208" t="s">
        <v>112</v>
      </c>
      <c r="Q485" s="240">
        <f t="shared" si="102"/>
        <v>8</v>
      </c>
      <c r="R485" s="239">
        <v>1</v>
      </c>
      <c r="S485" s="240">
        <f t="shared" si="105"/>
        <v>9</v>
      </c>
      <c r="T485" s="216" t="s">
        <v>48</v>
      </c>
      <c r="U485" s="196" t="str">
        <f t="shared" si="103"/>
        <v>9 Hrs</v>
      </c>
    </row>
    <row r="486" spans="3:21" s="185" customFormat="1" ht="20.25" customHeight="1">
      <c r="C486" s="198"/>
      <c r="D486" s="203">
        <f t="shared" si="100"/>
        <v>486</v>
      </c>
      <c r="E486" s="207" t="s">
        <v>483</v>
      </c>
      <c r="F486" s="211">
        <f t="shared" si="104"/>
        <v>485</v>
      </c>
      <c r="G486" s="206" t="s">
        <v>121</v>
      </c>
      <c r="H486" s="206"/>
      <c r="I486" s="224">
        <v>18</v>
      </c>
      <c r="J486" s="208"/>
      <c r="K486" s="234">
        <v>2</v>
      </c>
      <c r="L486" s="208" t="s">
        <v>39</v>
      </c>
      <c r="M486" s="235">
        <f>16*25.4*3.142*0.001*K486</f>
        <v>2.5538175999999999</v>
      </c>
      <c r="N486" s="208" t="s">
        <v>249</v>
      </c>
      <c r="O486" s="246">
        <f>VLOOKUP(I486,BM!$A$2:$X$104,23,FALSE)</f>
        <v>6.8</v>
      </c>
      <c r="P486" s="208" t="s">
        <v>112</v>
      </c>
      <c r="Q486" s="240">
        <f t="shared" si="102"/>
        <v>17.36595968</v>
      </c>
      <c r="R486" s="239">
        <v>1</v>
      </c>
      <c r="S486" s="240">
        <f t="shared" si="105"/>
        <v>18.37</v>
      </c>
      <c r="T486" s="216" t="s">
        <v>48</v>
      </c>
      <c r="U486" s="196" t="str">
        <f t="shared" si="103"/>
        <v>18.37 Hrs</v>
      </c>
    </row>
    <row r="487" spans="3:21" s="185" customFormat="1" ht="20.25" customHeight="1">
      <c r="C487" s="198"/>
      <c r="D487" s="203">
        <f t="shared" si="100"/>
        <v>487</v>
      </c>
      <c r="E487" s="207" t="s">
        <v>484</v>
      </c>
      <c r="F487" s="211">
        <f t="shared" si="104"/>
        <v>486</v>
      </c>
      <c r="G487" s="206" t="s">
        <v>61</v>
      </c>
      <c r="H487" s="206"/>
      <c r="I487" s="208"/>
      <c r="J487" s="234" t="s">
        <v>477</v>
      </c>
      <c r="K487" s="234">
        <v>2</v>
      </c>
      <c r="L487" s="208" t="s">
        <v>485</v>
      </c>
      <c r="M487" s="235">
        <f>16*25.4*3.142*K487/1000</f>
        <v>2.5538175999999999</v>
      </c>
      <c r="N487" s="208" t="s">
        <v>39</v>
      </c>
      <c r="O487" s="218">
        <v>0.15</v>
      </c>
      <c r="P487" s="208" t="s">
        <v>112</v>
      </c>
      <c r="Q487" s="240">
        <f t="shared" si="102"/>
        <v>0.38307263999999996</v>
      </c>
      <c r="R487" s="239">
        <v>1</v>
      </c>
      <c r="S487" s="240">
        <f t="shared" si="105"/>
        <v>1.38</v>
      </c>
      <c r="T487" s="216" t="s">
        <v>48</v>
      </c>
      <c r="U487" s="196" t="str">
        <f t="shared" si="103"/>
        <v>1.38 Hrs</v>
      </c>
    </row>
    <row r="488" spans="3:21" s="185" customFormat="1" ht="20.25" customHeight="1">
      <c r="C488" s="198">
        <f>D488</f>
        <v>488</v>
      </c>
      <c r="D488" s="203">
        <f t="shared" si="100"/>
        <v>488</v>
      </c>
      <c r="E488" s="209" t="s">
        <v>486</v>
      </c>
      <c r="F488" s="210">
        <f>C478</f>
        <v>478</v>
      </c>
      <c r="G488" s="206"/>
      <c r="H488" s="206"/>
      <c r="I488" s="208"/>
      <c r="J488" s="208"/>
      <c r="K488" s="234"/>
      <c r="L488" s="208"/>
      <c r="M488" s="217"/>
      <c r="N488" s="208"/>
      <c r="O488" s="218"/>
      <c r="P488" s="208"/>
      <c r="Q488" s="240"/>
      <c r="R488" s="239"/>
      <c r="S488" s="240"/>
      <c r="T488" s="216"/>
      <c r="U488" s="196"/>
    </row>
    <row r="489" spans="3:21" s="185" customFormat="1" ht="20.25" customHeight="1">
      <c r="C489" s="198"/>
      <c r="D489" s="203">
        <f t="shared" si="100"/>
        <v>489</v>
      </c>
      <c r="E489" s="207" t="s">
        <v>487</v>
      </c>
      <c r="F489" s="211"/>
      <c r="G489" s="206" t="s">
        <v>299</v>
      </c>
      <c r="H489" s="206"/>
      <c r="I489" s="224">
        <v>24</v>
      </c>
      <c r="J489" s="234">
        <v>14465</v>
      </c>
      <c r="K489" s="234">
        <v>1</v>
      </c>
      <c r="L489" s="208" t="s">
        <v>39</v>
      </c>
      <c r="M489" s="217">
        <f>J489*K489/1000</f>
        <v>14.465</v>
      </c>
      <c r="N489" s="208" t="s">
        <v>81</v>
      </c>
      <c r="O489" s="218">
        <v>0.5</v>
      </c>
      <c r="P489" s="208" t="s">
        <v>112</v>
      </c>
      <c r="Q489" s="240">
        <f t="shared" si="102"/>
        <v>7.2324999999999999</v>
      </c>
      <c r="R489" s="239">
        <v>1</v>
      </c>
      <c r="S489" s="240">
        <f t="shared" si="105"/>
        <v>8.23</v>
      </c>
      <c r="T489" s="216" t="s">
        <v>48</v>
      </c>
      <c r="U489" s="196" t="str">
        <f t="shared" si="103"/>
        <v>8.23 Hrs</v>
      </c>
    </row>
    <row r="490" spans="3:21" s="185" customFormat="1" ht="20.25" customHeight="1">
      <c r="C490" s="198"/>
      <c r="D490" s="203">
        <f t="shared" si="100"/>
        <v>490</v>
      </c>
      <c r="E490" s="207" t="s">
        <v>488</v>
      </c>
      <c r="F490" s="211">
        <f t="shared" si="104"/>
        <v>489</v>
      </c>
      <c r="G490" s="206" t="s">
        <v>44</v>
      </c>
      <c r="H490" s="206"/>
      <c r="I490" s="224">
        <v>24</v>
      </c>
      <c r="J490" s="234" t="s">
        <v>489</v>
      </c>
      <c r="K490" s="234">
        <v>3</v>
      </c>
      <c r="L490" s="208" t="s">
        <v>39</v>
      </c>
      <c r="M490" s="217">
        <v>4</v>
      </c>
      <c r="N490" s="208" t="s">
        <v>81</v>
      </c>
      <c r="O490" s="218">
        <v>0.5</v>
      </c>
      <c r="P490" s="208" t="s">
        <v>112</v>
      </c>
      <c r="Q490" s="240">
        <f t="shared" si="102"/>
        <v>2</v>
      </c>
      <c r="R490" s="239">
        <v>1</v>
      </c>
      <c r="S490" s="240">
        <f t="shared" si="105"/>
        <v>3</v>
      </c>
      <c r="T490" s="216" t="s">
        <v>48</v>
      </c>
      <c r="U490" s="196" t="str">
        <f t="shared" si="103"/>
        <v>3 Hrs</v>
      </c>
    </row>
    <row r="491" spans="3:21" s="185" customFormat="1" ht="20.25" customHeight="1">
      <c r="C491" s="198">
        <f>D491</f>
        <v>491</v>
      </c>
      <c r="D491" s="203">
        <f t="shared" si="100"/>
        <v>491</v>
      </c>
      <c r="E491" s="209" t="s">
        <v>490</v>
      </c>
      <c r="F491" s="210">
        <f>C488</f>
        <v>488</v>
      </c>
      <c r="G491" s="206"/>
      <c r="H491" s="206"/>
      <c r="I491" s="208"/>
      <c r="J491" s="208"/>
      <c r="K491" s="234"/>
      <c r="L491" s="208"/>
      <c r="M491" s="217"/>
      <c r="N491" s="208"/>
      <c r="O491" s="218"/>
      <c r="P491" s="208"/>
      <c r="Q491" s="240"/>
      <c r="R491" s="239"/>
      <c r="S491" s="240"/>
      <c r="T491" s="216"/>
      <c r="U491" s="196"/>
    </row>
    <row r="492" spans="3:21" s="185" customFormat="1" ht="20.25" customHeight="1">
      <c r="C492" s="198"/>
      <c r="D492" s="203">
        <f t="shared" si="100"/>
        <v>492</v>
      </c>
      <c r="E492" s="207" t="s">
        <v>491</v>
      </c>
      <c r="F492" s="211"/>
      <c r="G492" s="206" t="s">
        <v>115</v>
      </c>
      <c r="H492" s="206"/>
      <c r="I492" s="224">
        <v>24</v>
      </c>
      <c r="J492" s="234">
        <v>1480</v>
      </c>
      <c r="K492" s="234">
        <v>3</v>
      </c>
      <c r="L492" s="208" t="s">
        <v>39</v>
      </c>
      <c r="M492" s="235">
        <f>J492*K492/1000</f>
        <v>4.4400000000000004</v>
      </c>
      <c r="N492" s="208"/>
      <c r="O492" s="246">
        <f>VLOOKUP(I492,BM!$A$2:$X$104,23,FALSE)</f>
        <v>11.2</v>
      </c>
      <c r="P492" s="208" t="s">
        <v>112</v>
      </c>
      <c r="Q492" s="240">
        <f t="shared" si="102"/>
        <v>49.728000000000002</v>
      </c>
      <c r="R492" s="239">
        <v>1</v>
      </c>
      <c r="S492" s="240">
        <f t="shared" si="105"/>
        <v>50.73</v>
      </c>
      <c r="T492" s="216" t="s">
        <v>48</v>
      </c>
      <c r="U492" s="196" t="str">
        <f t="shared" si="103"/>
        <v>50.73 Hrs</v>
      </c>
    </row>
    <row r="493" spans="3:21" s="185" customFormat="1" ht="20.25" customHeight="1">
      <c r="C493" s="198"/>
      <c r="D493" s="203">
        <f t="shared" si="100"/>
        <v>493</v>
      </c>
      <c r="E493" s="207" t="s">
        <v>492</v>
      </c>
      <c r="F493" s="211">
        <f t="shared" si="104"/>
        <v>492</v>
      </c>
      <c r="G493" s="206" t="s">
        <v>121</v>
      </c>
      <c r="H493" s="206"/>
      <c r="I493" s="224">
        <v>12</v>
      </c>
      <c r="J493" s="234" t="s">
        <v>493</v>
      </c>
      <c r="K493" s="234">
        <v>1</v>
      </c>
      <c r="L493" s="208" t="s">
        <v>39</v>
      </c>
      <c r="M493" s="227">
        <f>LEFT(J493,SEARCH(" ",J493,1)-1)*K493/1000</f>
        <v>12.31</v>
      </c>
      <c r="N493" s="208" t="s">
        <v>39</v>
      </c>
      <c r="O493" s="246">
        <f>VLOOKUP(I493,BM!$A$2:$X$104,22,FALSE)</f>
        <v>1.6</v>
      </c>
      <c r="P493" s="208" t="s">
        <v>112</v>
      </c>
      <c r="Q493" s="240">
        <f t="shared" si="102"/>
        <v>19.696000000000002</v>
      </c>
      <c r="R493" s="239">
        <v>1</v>
      </c>
      <c r="S493" s="240">
        <f t="shared" si="105"/>
        <v>20.7</v>
      </c>
      <c r="T493" s="216" t="s">
        <v>48</v>
      </c>
      <c r="U493" s="196" t="str">
        <f t="shared" si="103"/>
        <v>20.7 Hrs</v>
      </c>
    </row>
    <row r="494" spans="3:21" s="185" customFormat="1" ht="20.25" customHeight="1">
      <c r="C494" s="198">
        <f>D494</f>
        <v>494</v>
      </c>
      <c r="D494" s="203">
        <f t="shared" si="100"/>
        <v>494</v>
      </c>
      <c r="E494" s="209" t="s">
        <v>494</v>
      </c>
      <c r="F494" s="210">
        <f>C491</f>
        <v>491</v>
      </c>
      <c r="G494" s="206"/>
      <c r="H494" s="206"/>
      <c r="I494" s="208"/>
      <c r="J494" s="208"/>
      <c r="K494" s="234"/>
      <c r="L494" s="208"/>
      <c r="M494" s="217"/>
      <c r="N494" s="208"/>
      <c r="O494" s="218"/>
      <c r="P494" s="208"/>
      <c r="Q494" s="240"/>
      <c r="R494" s="239"/>
      <c r="S494" s="240"/>
      <c r="T494" s="216"/>
      <c r="U494" s="196"/>
    </row>
    <row r="495" spans="3:21" s="185" customFormat="1" ht="20.25" customHeight="1">
      <c r="C495" s="198"/>
      <c r="D495" s="203">
        <f t="shared" si="100"/>
        <v>495</v>
      </c>
      <c r="E495" s="207" t="s">
        <v>495</v>
      </c>
      <c r="F495" s="211"/>
      <c r="G495" s="206" t="s">
        <v>44</v>
      </c>
      <c r="H495" s="206"/>
      <c r="I495" s="224">
        <v>18</v>
      </c>
      <c r="J495" s="234" t="s">
        <v>496</v>
      </c>
      <c r="K495" s="234">
        <v>1</v>
      </c>
      <c r="L495" s="208" t="s">
        <v>39</v>
      </c>
      <c r="M495" s="217">
        <v>1</v>
      </c>
      <c r="N495" s="208" t="s">
        <v>39</v>
      </c>
      <c r="O495" s="218">
        <v>4</v>
      </c>
      <c r="P495" s="208" t="s">
        <v>112</v>
      </c>
      <c r="Q495" s="240">
        <f t="shared" si="102"/>
        <v>4</v>
      </c>
      <c r="R495" s="239">
        <v>1</v>
      </c>
      <c r="S495" s="240">
        <f t="shared" si="105"/>
        <v>5</v>
      </c>
      <c r="T495" s="216" t="s">
        <v>48</v>
      </c>
      <c r="U495" s="196" t="str">
        <f t="shared" si="103"/>
        <v>5 Hrs</v>
      </c>
    </row>
    <row r="496" spans="3:21" s="185" customFormat="1" ht="20.25" customHeight="1">
      <c r="C496" s="198"/>
      <c r="D496" s="203">
        <f t="shared" si="100"/>
        <v>496</v>
      </c>
      <c r="E496" s="207" t="s">
        <v>497</v>
      </c>
      <c r="F496" s="211">
        <f t="shared" si="104"/>
        <v>495</v>
      </c>
      <c r="G496" s="206" t="s">
        <v>498</v>
      </c>
      <c r="H496" s="206"/>
      <c r="I496" s="224">
        <v>18</v>
      </c>
      <c r="J496" s="234" t="s">
        <v>499</v>
      </c>
      <c r="K496" s="234">
        <v>1</v>
      </c>
      <c r="L496" s="208" t="s">
        <v>39</v>
      </c>
      <c r="M496" s="217">
        <v>1</v>
      </c>
      <c r="N496" s="208" t="s">
        <v>39</v>
      </c>
      <c r="O496" s="218">
        <v>4</v>
      </c>
      <c r="P496" s="208" t="s">
        <v>112</v>
      </c>
      <c r="Q496" s="240">
        <f t="shared" si="102"/>
        <v>4</v>
      </c>
      <c r="R496" s="239">
        <v>1</v>
      </c>
      <c r="S496" s="240">
        <f t="shared" si="105"/>
        <v>5</v>
      </c>
      <c r="T496" s="216" t="s">
        <v>48</v>
      </c>
      <c r="U496" s="196" t="str">
        <f t="shared" si="103"/>
        <v>5 Hrs</v>
      </c>
    </row>
    <row r="497" spans="3:21" s="185" customFormat="1" ht="20.25" customHeight="1">
      <c r="C497" s="198"/>
      <c r="D497" s="203">
        <f t="shared" si="100"/>
        <v>497</v>
      </c>
      <c r="E497" s="207" t="s">
        <v>500</v>
      </c>
      <c r="F497" s="211">
        <f t="shared" si="104"/>
        <v>496</v>
      </c>
      <c r="G497" s="206" t="s">
        <v>115</v>
      </c>
      <c r="H497" s="206"/>
      <c r="I497" s="224">
        <v>12</v>
      </c>
      <c r="J497" s="234">
        <v>6</v>
      </c>
      <c r="K497" s="234">
        <v>1</v>
      </c>
      <c r="L497" s="208" t="s">
        <v>39</v>
      </c>
      <c r="M497" s="235">
        <f>J497*K497</f>
        <v>6</v>
      </c>
      <c r="N497" s="208" t="s">
        <v>139</v>
      </c>
      <c r="O497" s="246">
        <f>VLOOKUP(I497,BM!$A$2:$X$104,22,FALSE)</f>
        <v>1.6</v>
      </c>
      <c r="P497" s="208" t="s">
        <v>112</v>
      </c>
      <c r="Q497" s="240">
        <f t="shared" si="102"/>
        <v>9.6000000000000014</v>
      </c>
      <c r="R497" s="239">
        <v>1</v>
      </c>
      <c r="S497" s="240">
        <f t="shared" si="105"/>
        <v>10.6</v>
      </c>
      <c r="T497" s="216" t="s">
        <v>48</v>
      </c>
      <c r="U497" s="196" t="str">
        <f t="shared" si="103"/>
        <v>10.6 Hrs</v>
      </c>
    </row>
    <row r="498" spans="3:21" s="185" customFormat="1" ht="20.25" customHeight="1">
      <c r="C498" s="198">
        <f>D498</f>
        <v>498</v>
      </c>
      <c r="D498" s="203">
        <f t="shared" si="100"/>
        <v>498</v>
      </c>
      <c r="E498" s="209" t="s">
        <v>501</v>
      </c>
      <c r="F498" s="210">
        <f>C494</f>
        <v>494</v>
      </c>
      <c r="G498" s="206"/>
      <c r="H498" s="206"/>
      <c r="I498" s="208"/>
      <c r="J498" s="208"/>
      <c r="K498" s="234"/>
      <c r="L498" s="208"/>
      <c r="M498" s="217"/>
      <c r="N498" s="208"/>
      <c r="O498" s="218"/>
      <c r="P498" s="208"/>
      <c r="Q498" s="240"/>
      <c r="R498" s="239"/>
      <c r="S498" s="240"/>
      <c r="T498" s="216"/>
      <c r="U498" s="196"/>
    </row>
    <row r="499" spans="3:21" s="185" customFormat="1" ht="20.25" customHeight="1">
      <c r="C499" s="198"/>
      <c r="D499" s="203">
        <f t="shared" si="100"/>
        <v>499</v>
      </c>
      <c r="E499" s="207" t="s">
        <v>502</v>
      </c>
      <c r="F499" s="211"/>
      <c r="G499" s="206" t="s">
        <v>149</v>
      </c>
      <c r="H499" s="206"/>
      <c r="I499" s="224">
        <v>18</v>
      </c>
      <c r="J499" s="234" t="s">
        <v>503</v>
      </c>
      <c r="K499" s="234">
        <v>1</v>
      </c>
      <c r="L499" s="208" t="s">
        <v>39</v>
      </c>
      <c r="M499" s="217">
        <v>1</v>
      </c>
      <c r="N499" s="208" t="s">
        <v>39</v>
      </c>
      <c r="O499" s="218">
        <v>8</v>
      </c>
      <c r="P499" s="208" t="s">
        <v>112</v>
      </c>
      <c r="Q499" s="240">
        <f t="shared" si="102"/>
        <v>8</v>
      </c>
      <c r="R499" s="239">
        <v>1</v>
      </c>
      <c r="S499" s="240">
        <f t="shared" si="105"/>
        <v>9</v>
      </c>
      <c r="T499" s="216" t="s">
        <v>48</v>
      </c>
      <c r="U499" s="196" t="str">
        <f t="shared" si="103"/>
        <v>9 Hrs</v>
      </c>
    </row>
    <row r="500" spans="3:21" s="185" customFormat="1" ht="20.25" customHeight="1">
      <c r="C500" s="198"/>
      <c r="D500" s="203">
        <f t="shared" si="100"/>
        <v>500</v>
      </c>
      <c r="E500" s="207" t="s">
        <v>504</v>
      </c>
      <c r="F500" s="211">
        <f t="shared" si="104"/>
        <v>499</v>
      </c>
      <c r="G500" s="206" t="s">
        <v>63</v>
      </c>
      <c r="H500" s="206"/>
      <c r="I500" s="224">
        <v>18</v>
      </c>
      <c r="J500" s="234" t="s">
        <v>503</v>
      </c>
      <c r="K500" s="234">
        <v>1</v>
      </c>
      <c r="L500" s="208" t="s">
        <v>39</v>
      </c>
      <c r="M500" s="217">
        <v>1</v>
      </c>
      <c r="N500" s="208" t="s">
        <v>39</v>
      </c>
      <c r="O500" s="218">
        <v>1</v>
      </c>
      <c r="P500" s="208" t="s">
        <v>41</v>
      </c>
      <c r="Q500" s="240">
        <f t="shared" si="102"/>
        <v>1</v>
      </c>
      <c r="R500" s="239"/>
      <c r="S500" s="240">
        <f t="shared" si="105"/>
        <v>1</v>
      </c>
      <c r="T500" s="216" t="s">
        <v>48</v>
      </c>
      <c r="U500" s="196" t="str">
        <f t="shared" si="103"/>
        <v>1 Hrs</v>
      </c>
    </row>
    <row r="501" spans="3:21" s="185" customFormat="1" ht="20.25" customHeight="1">
      <c r="C501" s="198">
        <f t="shared" ref="C501:C502" si="106">D501</f>
        <v>501</v>
      </c>
      <c r="D501" s="203">
        <f t="shared" si="100"/>
        <v>501</v>
      </c>
      <c r="E501" s="247" t="s">
        <v>505</v>
      </c>
      <c r="F501" s="210"/>
      <c r="G501" s="206"/>
      <c r="H501" s="206"/>
      <c r="I501" s="208"/>
      <c r="J501" s="208"/>
      <c r="K501" s="234"/>
      <c r="L501" s="208"/>
      <c r="M501" s="217"/>
      <c r="N501" s="208"/>
      <c r="O501" s="218"/>
      <c r="P501" s="208"/>
      <c r="Q501" s="240"/>
      <c r="R501" s="239"/>
      <c r="S501" s="240"/>
      <c r="T501" s="216"/>
      <c r="U501" s="196"/>
    </row>
    <row r="502" spans="3:21" s="185" customFormat="1" ht="20.25" customHeight="1">
      <c r="C502" s="198">
        <f t="shared" si="106"/>
        <v>502</v>
      </c>
      <c r="D502" s="203">
        <f t="shared" si="100"/>
        <v>502</v>
      </c>
      <c r="E502" s="209" t="s">
        <v>506</v>
      </c>
      <c r="F502" s="210">
        <v>7</v>
      </c>
      <c r="G502" s="206"/>
      <c r="H502" s="206"/>
      <c r="I502" s="208"/>
      <c r="J502" s="208"/>
      <c r="K502" s="234">
        <v>1</v>
      </c>
      <c r="L502" s="208" t="s">
        <v>39</v>
      </c>
      <c r="M502" s="217">
        <v>1</v>
      </c>
      <c r="N502" s="208" t="s">
        <v>39</v>
      </c>
      <c r="O502" s="218">
        <v>4</v>
      </c>
      <c r="P502" s="208" t="s">
        <v>41</v>
      </c>
      <c r="Q502" s="240">
        <f t="shared" si="102"/>
        <v>4</v>
      </c>
      <c r="R502" s="239"/>
      <c r="S502" s="240">
        <f t="shared" si="105"/>
        <v>4</v>
      </c>
      <c r="T502" s="216" t="s">
        <v>48</v>
      </c>
      <c r="U502" s="196" t="str">
        <f t="shared" si="103"/>
        <v>4 Hrs</v>
      </c>
    </row>
    <row r="503" spans="3:21" s="185" customFormat="1" ht="20.25" customHeight="1">
      <c r="C503" s="198"/>
      <c r="D503" s="203">
        <f t="shared" si="100"/>
        <v>503</v>
      </c>
      <c r="E503" s="207" t="s">
        <v>507</v>
      </c>
      <c r="F503" s="211"/>
      <c r="G503" s="206" t="s">
        <v>37</v>
      </c>
      <c r="H503" s="206"/>
      <c r="I503" s="224">
        <v>18</v>
      </c>
      <c r="J503" s="234" t="s">
        <v>508</v>
      </c>
      <c r="K503" s="234">
        <v>1</v>
      </c>
      <c r="L503" s="208" t="s">
        <v>81</v>
      </c>
      <c r="M503" s="227">
        <f>LEFT(J503,SEARCH(" ",J503,1)-1)*K503/1000</f>
        <v>0.373</v>
      </c>
      <c r="N503" s="208" t="s">
        <v>139</v>
      </c>
      <c r="O503" s="246">
        <f>VLOOKUP(I503,BM!$A$2:$X$104,2,FALSE)</f>
        <v>0.1</v>
      </c>
      <c r="P503" s="208" t="s">
        <v>47</v>
      </c>
      <c r="Q503" s="240">
        <f t="shared" si="102"/>
        <v>3.73E-2</v>
      </c>
      <c r="R503" s="239">
        <v>1</v>
      </c>
      <c r="S503" s="240">
        <f t="shared" si="105"/>
        <v>1.04</v>
      </c>
      <c r="T503" s="216" t="s">
        <v>48</v>
      </c>
      <c r="U503" s="196" t="str">
        <f t="shared" si="103"/>
        <v>1.04 Hrs</v>
      </c>
    </row>
    <row r="504" spans="3:21" s="185" customFormat="1" ht="20.25" customHeight="1">
      <c r="C504" s="198"/>
      <c r="D504" s="203">
        <f t="shared" si="100"/>
        <v>504</v>
      </c>
      <c r="E504" s="207" t="s">
        <v>509</v>
      </c>
      <c r="F504" s="211">
        <f t="shared" si="104"/>
        <v>503</v>
      </c>
      <c r="G504" s="206" t="s">
        <v>201</v>
      </c>
      <c r="H504" s="206"/>
      <c r="I504" s="224">
        <v>18</v>
      </c>
      <c r="J504" s="234" t="s">
        <v>510</v>
      </c>
      <c r="K504" s="234">
        <v>1</v>
      </c>
      <c r="L504" s="208" t="s">
        <v>81</v>
      </c>
      <c r="M504" s="227">
        <f t="shared" ref="M504:M508" si="107">LEFT(J504,SEARCH(" ",J504,1)-1)*K504/1000</f>
        <v>11.3</v>
      </c>
      <c r="N504" s="208" t="s">
        <v>139</v>
      </c>
      <c r="O504" s="246">
        <f>VLOOKUP(I504,BM!$A$2:$X$104,3,FALSE)</f>
        <v>0.25</v>
      </c>
      <c r="P504" s="208" t="s">
        <v>47</v>
      </c>
      <c r="Q504" s="240">
        <f t="shared" si="102"/>
        <v>2.8250000000000002</v>
      </c>
      <c r="R504" s="239">
        <v>1</v>
      </c>
      <c r="S504" s="240">
        <f t="shared" si="105"/>
        <v>3.83</v>
      </c>
      <c r="T504" s="216" t="s">
        <v>48</v>
      </c>
      <c r="U504" s="196" t="str">
        <f t="shared" si="103"/>
        <v>3.83 Hrs</v>
      </c>
    </row>
    <row r="505" spans="3:21" s="185" customFormat="1" ht="20.25" customHeight="1">
      <c r="C505" s="198"/>
      <c r="D505" s="203">
        <f t="shared" si="100"/>
        <v>505</v>
      </c>
      <c r="E505" s="207" t="s">
        <v>511</v>
      </c>
      <c r="F505" s="211">
        <f t="shared" si="104"/>
        <v>504</v>
      </c>
      <c r="G505" s="206" t="s">
        <v>52</v>
      </c>
      <c r="H505" s="206"/>
      <c r="I505" s="224">
        <v>18</v>
      </c>
      <c r="J505" s="208" t="str">
        <f t="shared" ref="J505:J508" si="108">J504</f>
        <v>11300 mm</v>
      </c>
      <c r="K505" s="234">
        <v>1</v>
      </c>
      <c r="L505" s="208" t="s">
        <v>81</v>
      </c>
      <c r="M505" s="227">
        <f t="shared" si="107"/>
        <v>11.3</v>
      </c>
      <c r="N505" s="208" t="s">
        <v>139</v>
      </c>
      <c r="O505" s="246">
        <f>VLOOKUP(I505,BM!$A$2:$X$104,4,FALSE)</f>
        <v>0.15</v>
      </c>
      <c r="P505" s="208" t="s">
        <v>47</v>
      </c>
      <c r="Q505" s="240">
        <f t="shared" si="102"/>
        <v>1.6950000000000001</v>
      </c>
      <c r="R505" s="239">
        <v>1</v>
      </c>
      <c r="S505" s="240">
        <f t="shared" si="105"/>
        <v>2.7</v>
      </c>
      <c r="T505" s="216" t="s">
        <v>48</v>
      </c>
      <c r="U505" s="196" t="str">
        <f t="shared" si="103"/>
        <v>2.7 Hrs</v>
      </c>
    </row>
    <row r="506" spans="3:21" s="185" customFormat="1" ht="20.25" customHeight="1">
      <c r="C506" s="198"/>
      <c r="D506" s="203">
        <f t="shared" si="100"/>
        <v>506</v>
      </c>
      <c r="E506" s="207" t="s">
        <v>512</v>
      </c>
      <c r="F506" s="211">
        <f t="shared" si="104"/>
        <v>505</v>
      </c>
      <c r="G506" s="206" t="s">
        <v>61</v>
      </c>
      <c r="H506" s="206"/>
      <c r="I506" s="224">
        <v>18</v>
      </c>
      <c r="J506" s="208" t="str">
        <f t="shared" si="108"/>
        <v>11300 mm</v>
      </c>
      <c r="K506" s="234">
        <v>1</v>
      </c>
      <c r="L506" s="208" t="s">
        <v>81</v>
      </c>
      <c r="M506" s="227">
        <f t="shared" si="107"/>
        <v>11.3</v>
      </c>
      <c r="N506" s="208" t="s">
        <v>139</v>
      </c>
      <c r="O506" s="246">
        <f>VLOOKUP(I506,BM!$A$2:$X$104,5,FALSE)</f>
        <v>0.5</v>
      </c>
      <c r="P506" s="208" t="s">
        <v>47</v>
      </c>
      <c r="Q506" s="240">
        <f t="shared" si="102"/>
        <v>5.65</v>
      </c>
      <c r="R506" s="239">
        <v>1</v>
      </c>
      <c r="S506" s="240">
        <f t="shared" si="105"/>
        <v>6.65</v>
      </c>
      <c r="T506" s="216" t="s">
        <v>48</v>
      </c>
      <c r="U506" s="196" t="str">
        <f t="shared" si="103"/>
        <v>6.65 Hrs</v>
      </c>
    </row>
    <row r="507" spans="3:21" s="185" customFormat="1" ht="20.25" customHeight="1">
      <c r="C507" s="198"/>
      <c r="D507" s="203">
        <f t="shared" si="100"/>
        <v>507</v>
      </c>
      <c r="E507" s="207" t="s">
        <v>513</v>
      </c>
      <c r="F507" s="211">
        <f t="shared" si="104"/>
        <v>506</v>
      </c>
      <c r="G507" s="206" t="s">
        <v>224</v>
      </c>
      <c r="H507" s="206"/>
      <c r="I507" s="224">
        <v>18</v>
      </c>
      <c r="J507" s="208" t="str">
        <f t="shared" si="108"/>
        <v>11300 mm</v>
      </c>
      <c r="K507" s="234">
        <v>1</v>
      </c>
      <c r="L507" s="208" t="s">
        <v>81</v>
      </c>
      <c r="M507" s="227">
        <f t="shared" si="107"/>
        <v>11.3</v>
      </c>
      <c r="N507" s="208" t="s">
        <v>139</v>
      </c>
      <c r="O507" s="246">
        <f>VLOOKUP(I507,BM!$A$2:$X$104,6,FALSE)</f>
        <v>1</v>
      </c>
      <c r="P507" s="208" t="s">
        <v>47</v>
      </c>
      <c r="Q507" s="240">
        <f t="shared" si="102"/>
        <v>11.3</v>
      </c>
      <c r="R507" s="239">
        <v>1</v>
      </c>
      <c r="S507" s="240">
        <f t="shared" si="105"/>
        <v>12.3</v>
      </c>
      <c r="T507" s="216" t="s">
        <v>48</v>
      </c>
      <c r="U507" s="196" t="str">
        <f t="shared" si="103"/>
        <v>12.3 Hrs</v>
      </c>
    </row>
    <row r="508" spans="3:21" s="185" customFormat="1" ht="20.25" customHeight="1">
      <c r="C508" s="198"/>
      <c r="D508" s="203">
        <f t="shared" si="100"/>
        <v>508</v>
      </c>
      <c r="E508" s="207" t="s">
        <v>416</v>
      </c>
      <c r="F508" s="211">
        <f t="shared" si="104"/>
        <v>507</v>
      </c>
      <c r="G508" s="206" t="s">
        <v>61</v>
      </c>
      <c r="H508" s="206"/>
      <c r="I508" s="224">
        <v>18</v>
      </c>
      <c r="J508" s="208" t="str">
        <f t="shared" si="108"/>
        <v>11300 mm</v>
      </c>
      <c r="K508" s="234">
        <v>1</v>
      </c>
      <c r="L508" s="208" t="s">
        <v>81</v>
      </c>
      <c r="M508" s="227">
        <f t="shared" si="107"/>
        <v>11.3</v>
      </c>
      <c r="N508" s="208" t="s">
        <v>139</v>
      </c>
      <c r="O508" s="246">
        <f>VLOOKUP(I508,BM!$A$2:$X$104,6,FALSE)</f>
        <v>1</v>
      </c>
      <c r="P508" s="208" t="s">
        <v>47</v>
      </c>
      <c r="Q508" s="240">
        <f t="shared" si="102"/>
        <v>11.3</v>
      </c>
      <c r="R508" s="239">
        <v>1</v>
      </c>
      <c r="S508" s="240">
        <f t="shared" si="105"/>
        <v>12.3</v>
      </c>
      <c r="T508" s="216" t="s">
        <v>48</v>
      </c>
      <c r="U508" s="196" t="str">
        <f t="shared" si="103"/>
        <v>12.3 Hrs</v>
      </c>
    </row>
    <row r="509" spans="3:21" s="185" customFormat="1" ht="20.25" customHeight="1">
      <c r="C509" s="198">
        <f>D509</f>
        <v>509</v>
      </c>
      <c r="D509" s="203">
        <f t="shared" si="100"/>
        <v>509</v>
      </c>
      <c r="E509" s="209" t="s">
        <v>514</v>
      </c>
      <c r="F509" s="210">
        <f>C502</f>
        <v>502</v>
      </c>
      <c r="G509" s="206"/>
      <c r="H509" s="206"/>
      <c r="I509" s="208"/>
      <c r="J509" s="208"/>
      <c r="K509" s="234"/>
      <c r="L509" s="208"/>
      <c r="M509" s="217"/>
      <c r="N509" s="208"/>
      <c r="O509" s="218"/>
      <c r="P509" s="208"/>
      <c r="Q509" s="240"/>
      <c r="R509" s="239"/>
      <c r="S509" s="240"/>
      <c r="T509" s="216"/>
      <c r="U509" s="196"/>
    </row>
    <row r="510" spans="3:21" s="185" customFormat="1" ht="20.25" customHeight="1">
      <c r="C510" s="198"/>
      <c r="D510" s="203">
        <f t="shared" si="100"/>
        <v>510</v>
      </c>
      <c r="E510" s="207" t="s">
        <v>515</v>
      </c>
      <c r="F510" s="211"/>
      <c r="G510" s="206" t="s">
        <v>286</v>
      </c>
      <c r="H510" s="206"/>
      <c r="I510" s="233">
        <f>I508</f>
        <v>18</v>
      </c>
      <c r="J510" s="225" t="s">
        <v>516</v>
      </c>
      <c r="K510" s="234">
        <v>1</v>
      </c>
      <c r="L510" s="208" t="s">
        <v>81</v>
      </c>
      <c r="M510" s="217">
        <v>1</v>
      </c>
      <c r="N510" s="208" t="s">
        <v>139</v>
      </c>
      <c r="O510" s="218">
        <v>3</v>
      </c>
      <c r="P510" s="208" t="s">
        <v>112</v>
      </c>
      <c r="Q510" s="240">
        <f t="shared" si="102"/>
        <v>3</v>
      </c>
      <c r="R510" s="239">
        <v>1</v>
      </c>
      <c r="S510" s="240">
        <f t="shared" si="105"/>
        <v>4</v>
      </c>
      <c r="T510" s="216" t="s">
        <v>48</v>
      </c>
      <c r="U510" s="196" t="str">
        <f t="shared" si="103"/>
        <v>4 Hrs</v>
      </c>
    </row>
    <row r="511" spans="3:21" s="185" customFormat="1" ht="20.25" customHeight="1">
      <c r="C511" s="198"/>
      <c r="D511" s="203">
        <f t="shared" si="100"/>
        <v>511</v>
      </c>
      <c r="E511" s="207" t="s">
        <v>517</v>
      </c>
      <c r="F511" s="211">
        <f t="shared" si="104"/>
        <v>510</v>
      </c>
      <c r="G511" s="206" t="s">
        <v>420</v>
      </c>
      <c r="H511" s="206"/>
      <c r="I511" s="233">
        <f t="shared" ref="I511:J513" si="109">I510</f>
        <v>18</v>
      </c>
      <c r="J511" s="211" t="str">
        <f t="shared" si="109"/>
        <v>1664 mm id</v>
      </c>
      <c r="K511" s="234">
        <v>1</v>
      </c>
      <c r="L511" s="208" t="s">
        <v>81</v>
      </c>
      <c r="M511" s="227">
        <f>LEFT(J511,SEARCH(" ",J511,1)-1)*K511*2/1000</f>
        <v>3.3279999999999998</v>
      </c>
      <c r="N511" s="208" t="s">
        <v>39</v>
      </c>
      <c r="O511" s="246">
        <f>VLOOKUP(I511,BM!$A$2:$X$104,8,FALSE)</f>
        <v>0.3</v>
      </c>
      <c r="P511" s="208" t="s">
        <v>112</v>
      </c>
      <c r="Q511" s="240">
        <f t="shared" si="102"/>
        <v>0.99839999999999995</v>
      </c>
      <c r="R511" s="239">
        <v>1</v>
      </c>
      <c r="S511" s="240">
        <f t="shared" si="105"/>
        <v>2</v>
      </c>
      <c r="T511" s="216" t="s">
        <v>48</v>
      </c>
      <c r="U511" s="196" t="str">
        <f t="shared" si="103"/>
        <v>2 Hrs</v>
      </c>
    </row>
    <row r="512" spans="3:21" s="185" customFormat="1" ht="20.25" customHeight="1">
      <c r="C512" s="198"/>
      <c r="D512" s="203">
        <f t="shared" si="100"/>
        <v>512</v>
      </c>
      <c r="E512" s="207" t="s">
        <v>518</v>
      </c>
      <c r="F512" s="211">
        <f t="shared" si="104"/>
        <v>511</v>
      </c>
      <c r="G512" s="206" t="s">
        <v>348</v>
      </c>
      <c r="H512" s="206"/>
      <c r="I512" s="233">
        <f t="shared" si="109"/>
        <v>18</v>
      </c>
      <c r="J512" s="211" t="str">
        <f t="shared" si="109"/>
        <v>1664 mm id</v>
      </c>
      <c r="K512" s="234">
        <v>1</v>
      </c>
      <c r="L512" s="208" t="s">
        <v>81</v>
      </c>
      <c r="M512" s="227">
        <f>LEFT(J512,SEARCH(" ",J512,1)-1)*K512*2/1000</f>
        <v>3.3279999999999998</v>
      </c>
      <c r="N512" s="208" t="s">
        <v>139</v>
      </c>
      <c r="O512" s="246">
        <f>VLOOKUP(I512,BM!$A$2:$X$104,9,FALSE)</f>
        <v>1</v>
      </c>
      <c r="P512" s="208" t="s">
        <v>112</v>
      </c>
      <c r="Q512" s="240">
        <f t="shared" si="102"/>
        <v>3.3279999999999998</v>
      </c>
      <c r="R512" s="239">
        <v>1</v>
      </c>
      <c r="S512" s="240">
        <f t="shared" si="105"/>
        <v>4.33</v>
      </c>
      <c r="T512" s="216" t="s">
        <v>48</v>
      </c>
      <c r="U512" s="196" t="str">
        <f t="shared" si="103"/>
        <v>4.33 Hrs</v>
      </c>
    </row>
    <row r="513" spans="3:21" s="185" customFormat="1" ht="20.25" customHeight="1">
      <c r="C513" s="198"/>
      <c r="D513" s="203">
        <f t="shared" si="100"/>
        <v>513</v>
      </c>
      <c r="E513" s="207" t="s">
        <v>519</v>
      </c>
      <c r="F513" s="211">
        <f t="shared" si="104"/>
        <v>512</v>
      </c>
      <c r="G513" s="206" t="s">
        <v>286</v>
      </c>
      <c r="H513" s="206"/>
      <c r="I513" s="233">
        <f t="shared" si="109"/>
        <v>18</v>
      </c>
      <c r="J513" s="211" t="str">
        <f t="shared" si="109"/>
        <v>1664 mm id</v>
      </c>
      <c r="K513" s="234">
        <v>1</v>
      </c>
      <c r="L513" s="208" t="s">
        <v>81</v>
      </c>
      <c r="M513" s="227">
        <v>1</v>
      </c>
      <c r="N513" s="208" t="s">
        <v>39</v>
      </c>
      <c r="O513" s="218">
        <v>3</v>
      </c>
      <c r="P513" s="208" t="s">
        <v>112</v>
      </c>
      <c r="Q513" s="240">
        <f t="shared" si="102"/>
        <v>3</v>
      </c>
      <c r="R513" s="239">
        <v>1</v>
      </c>
      <c r="S513" s="240">
        <f t="shared" si="105"/>
        <v>4</v>
      </c>
      <c r="T513" s="216" t="s">
        <v>48</v>
      </c>
      <c r="U513" s="196" t="str">
        <f t="shared" si="103"/>
        <v>4 Hrs</v>
      </c>
    </row>
    <row r="514" spans="3:21" s="185" customFormat="1" ht="20.25" customHeight="1">
      <c r="C514" s="198">
        <f>D514</f>
        <v>514</v>
      </c>
      <c r="D514" s="203">
        <f t="shared" si="100"/>
        <v>514</v>
      </c>
      <c r="E514" s="209" t="s">
        <v>520</v>
      </c>
      <c r="F514" s="210">
        <f>C509</f>
        <v>509</v>
      </c>
      <c r="G514" s="206"/>
      <c r="H514" s="206"/>
      <c r="I514" s="208"/>
      <c r="J514" s="208"/>
      <c r="K514" s="234"/>
      <c r="L514" s="208"/>
      <c r="M514" s="217"/>
      <c r="N514" s="208"/>
      <c r="O514" s="218"/>
      <c r="P514" s="208"/>
      <c r="Q514" s="240"/>
      <c r="R514" s="239"/>
      <c r="S514" s="240"/>
      <c r="T514" s="216"/>
      <c r="U514" s="196"/>
    </row>
    <row r="515" spans="3:21" s="185" customFormat="1" ht="20.25" customHeight="1">
      <c r="C515" s="198"/>
      <c r="D515" s="203">
        <f t="shared" ref="D515:D578" si="110">D514+1</f>
        <v>515</v>
      </c>
      <c r="E515" s="207" t="s">
        <v>521</v>
      </c>
      <c r="F515" s="211"/>
      <c r="G515" s="206" t="s">
        <v>348</v>
      </c>
      <c r="H515" s="206"/>
      <c r="I515" s="233">
        <f>I513</f>
        <v>18</v>
      </c>
      <c r="J515" s="211" t="str">
        <f>J513</f>
        <v>1664 mm id</v>
      </c>
      <c r="K515" s="234">
        <v>1</v>
      </c>
      <c r="L515" s="208" t="s">
        <v>81</v>
      </c>
      <c r="M515" s="227">
        <f t="shared" ref="M515" si="111">LEFT(J515,SEARCH(" ",J515,1)-1)*K515*2/1000</f>
        <v>3.3279999999999998</v>
      </c>
      <c r="N515" s="208" t="s">
        <v>139</v>
      </c>
      <c r="O515" s="246">
        <f>VLOOKUP(I515,BM!$A$2:$X$104,9,FALSE)</f>
        <v>1</v>
      </c>
      <c r="P515" s="208" t="s">
        <v>112</v>
      </c>
      <c r="Q515" s="240">
        <f t="shared" si="102"/>
        <v>3.3279999999999998</v>
      </c>
      <c r="R515" s="239">
        <v>1</v>
      </c>
      <c r="S515" s="240">
        <f t="shared" si="105"/>
        <v>4.33</v>
      </c>
      <c r="T515" s="216" t="s">
        <v>48</v>
      </c>
      <c r="U515" s="196" t="str">
        <f t="shared" si="103"/>
        <v>4.33 Hrs</v>
      </c>
    </row>
    <row r="516" spans="3:21" s="185" customFormat="1" ht="20.25" customHeight="1">
      <c r="C516" s="198"/>
      <c r="D516" s="203">
        <f t="shared" si="110"/>
        <v>516</v>
      </c>
      <c r="E516" s="207" t="s">
        <v>522</v>
      </c>
      <c r="F516" s="211">
        <f t="shared" si="104"/>
        <v>515</v>
      </c>
      <c r="G516" s="206" t="s">
        <v>111</v>
      </c>
      <c r="H516" s="206"/>
      <c r="I516" s="233">
        <f>I515</f>
        <v>18</v>
      </c>
      <c r="J516" s="211" t="str">
        <f>J513</f>
        <v>1664 mm id</v>
      </c>
      <c r="K516" s="234">
        <v>1</v>
      </c>
      <c r="L516" s="208" t="s">
        <v>81</v>
      </c>
      <c r="M516" s="227">
        <f>LEFT(J516,SEARCH(" ",J516,1)-1)*K516/1000</f>
        <v>1.6639999999999999</v>
      </c>
      <c r="N516" s="208" t="s">
        <v>139</v>
      </c>
      <c r="O516" s="246">
        <f>VLOOKUP(I516,BM!$A$2:$X$104,10,FALSE)</f>
        <v>1</v>
      </c>
      <c r="P516" s="208" t="s">
        <v>112</v>
      </c>
      <c r="Q516" s="240">
        <f t="shared" si="102"/>
        <v>1.6639999999999999</v>
      </c>
      <c r="R516" s="239">
        <v>1</v>
      </c>
      <c r="S516" s="240">
        <f t="shared" si="105"/>
        <v>2.66</v>
      </c>
      <c r="T516" s="216" t="s">
        <v>48</v>
      </c>
      <c r="U516" s="196" t="str">
        <f t="shared" si="103"/>
        <v>2.66 Hrs</v>
      </c>
    </row>
    <row r="517" spans="3:21" s="185" customFormat="1" ht="20.25" customHeight="1">
      <c r="C517" s="198">
        <f>D517</f>
        <v>517</v>
      </c>
      <c r="D517" s="203">
        <f t="shared" si="110"/>
        <v>517</v>
      </c>
      <c r="E517" s="209" t="s">
        <v>523</v>
      </c>
      <c r="F517" s="210">
        <f>C514</f>
        <v>514</v>
      </c>
      <c r="G517" s="206"/>
      <c r="H517" s="206"/>
      <c r="I517" s="208"/>
      <c r="J517" s="208"/>
      <c r="K517" s="234"/>
      <c r="L517" s="208"/>
      <c r="M517" s="217"/>
      <c r="N517" s="208"/>
      <c r="O517" s="218"/>
      <c r="P517" s="208"/>
      <c r="Q517" s="240"/>
      <c r="R517" s="239"/>
      <c r="S517" s="240"/>
      <c r="T517" s="216"/>
      <c r="U517" s="196"/>
    </row>
    <row r="518" spans="3:21" s="185" customFormat="1" ht="20.25" customHeight="1">
      <c r="C518" s="198"/>
      <c r="D518" s="203">
        <f t="shared" si="110"/>
        <v>518</v>
      </c>
      <c r="E518" s="207" t="s">
        <v>524</v>
      </c>
      <c r="F518" s="211"/>
      <c r="G518" s="206" t="s">
        <v>201</v>
      </c>
      <c r="H518" s="206"/>
      <c r="I518" s="233">
        <f>I516</f>
        <v>18</v>
      </c>
      <c r="J518" s="211" t="str">
        <f t="shared" ref="J518" si="112">J516</f>
        <v>1664 mm id</v>
      </c>
      <c r="K518" s="234">
        <v>1</v>
      </c>
      <c r="L518" s="208" t="s">
        <v>81</v>
      </c>
      <c r="M518" s="217">
        <v>1</v>
      </c>
      <c r="N518" s="208" t="s">
        <v>39</v>
      </c>
      <c r="O518" s="218">
        <v>1</v>
      </c>
      <c r="P518" s="208" t="s">
        <v>112</v>
      </c>
      <c r="Q518" s="240">
        <f t="shared" si="102"/>
        <v>1</v>
      </c>
      <c r="R518" s="239">
        <v>1</v>
      </c>
      <c r="S518" s="240">
        <f t="shared" si="105"/>
        <v>2</v>
      </c>
      <c r="T518" s="216" t="s">
        <v>48</v>
      </c>
      <c r="U518" s="196" t="str">
        <f t="shared" si="103"/>
        <v>2 Hrs</v>
      </c>
    </row>
    <row r="519" spans="3:21" s="185" customFormat="1" ht="20.25" customHeight="1">
      <c r="C519" s="198"/>
      <c r="D519" s="203">
        <f t="shared" si="110"/>
        <v>519</v>
      </c>
      <c r="E519" s="207" t="s">
        <v>525</v>
      </c>
      <c r="F519" s="211">
        <f t="shared" si="104"/>
        <v>518</v>
      </c>
      <c r="G519" s="206" t="s">
        <v>115</v>
      </c>
      <c r="H519" s="206"/>
      <c r="I519" s="224">
        <v>12</v>
      </c>
      <c r="J519" s="211" t="str">
        <f t="shared" ref="J519:J523" si="113">J518</f>
        <v>1664 mm id</v>
      </c>
      <c r="K519" s="234">
        <v>1</v>
      </c>
      <c r="L519" s="208" t="s">
        <v>81</v>
      </c>
      <c r="M519" s="227">
        <f t="shared" ref="M519:M522" si="114">LEFT(J519,SEARCH(" ",J519,1)-1)*K519/1000</f>
        <v>1.6639999999999999</v>
      </c>
      <c r="N519" s="208" t="s">
        <v>139</v>
      </c>
      <c r="O519" s="246">
        <f>VLOOKUP(I519,BM!$A$2:$X$104,12,FALSE)</f>
        <v>2.5</v>
      </c>
      <c r="P519" s="208" t="s">
        <v>112</v>
      </c>
      <c r="Q519" s="240">
        <f t="shared" si="102"/>
        <v>4.16</v>
      </c>
      <c r="R519" s="239">
        <v>1</v>
      </c>
      <c r="S519" s="240">
        <f t="shared" si="105"/>
        <v>5.16</v>
      </c>
      <c r="T519" s="216" t="s">
        <v>48</v>
      </c>
      <c r="U519" s="196" t="str">
        <f t="shared" si="103"/>
        <v>5.16 Hrs</v>
      </c>
    </row>
    <row r="520" spans="3:21" s="185" customFormat="1" ht="20.25" customHeight="1">
      <c r="C520" s="198"/>
      <c r="D520" s="203">
        <f t="shared" si="110"/>
        <v>520</v>
      </c>
      <c r="E520" s="207" t="s">
        <v>526</v>
      </c>
      <c r="F520" s="211">
        <f t="shared" si="104"/>
        <v>519</v>
      </c>
      <c r="G520" s="206" t="s">
        <v>121</v>
      </c>
      <c r="H520" s="206"/>
      <c r="I520" s="224">
        <v>18</v>
      </c>
      <c r="J520" s="211" t="str">
        <f t="shared" si="113"/>
        <v>1664 mm id</v>
      </c>
      <c r="K520" s="234">
        <v>1</v>
      </c>
      <c r="L520" s="208" t="s">
        <v>81</v>
      </c>
      <c r="M520" s="227">
        <f t="shared" si="114"/>
        <v>1.6639999999999999</v>
      </c>
      <c r="N520" s="208" t="s">
        <v>139</v>
      </c>
      <c r="O520" s="246">
        <f>VLOOKUP(I520,BM!$A$2:$X$104,18,FALSE)</f>
        <v>1</v>
      </c>
      <c r="P520" s="208" t="s">
        <v>112</v>
      </c>
      <c r="Q520" s="240">
        <f t="shared" si="102"/>
        <v>1.6639999999999999</v>
      </c>
      <c r="R520" s="239">
        <v>1</v>
      </c>
      <c r="S520" s="240">
        <f t="shared" si="105"/>
        <v>2.66</v>
      </c>
      <c r="T520" s="216" t="s">
        <v>48</v>
      </c>
      <c r="U520" s="196" t="str">
        <f t="shared" si="103"/>
        <v>2.66 Hrs</v>
      </c>
    </row>
    <row r="521" spans="3:21" s="185" customFormat="1" ht="20.25" customHeight="1">
      <c r="C521" s="198"/>
      <c r="D521" s="203">
        <f t="shared" si="110"/>
        <v>521</v>
      </c>
      <c r="E521" s="207" t="s">
        <v>527</v>
      </c>
      <c r="F521" s="211">
        <f t="shared" si="104"/>
        <v>520</v>
      </c>
      <c r="G521" s="206" t="s">
        <v>115</v>
      </c>
      <c r="H521" s="206"/>
      <c r="I521" s="224">
        <v>6</v>
      </c>
      <c r="J521" s="211" t="str">
        <f t="shared" si="113"/>
        <v>1664 mm id</v>
      </c>
      <c r="K521" s="234">
        <v>1</v>
      </c>
      <c r="L521" s="208" t="s">
        <v>81</v>
      </c>
      <c r="M521" s="227">
        <f t="shared" si="114"/>
        <v>1.6639999999999999</v>
      </c>
      <c r="N521" s="208" t="s">
        <v>139</v>
      </c>
      <c r="O521" s="246">
        <f>VLOOKUP(I521,BM!$A$2:$X$104,12,FALSE)</f>
        <v>0.9</v>
      </c>
      <c r="P521" s="208" t="s">
        <v>112</v>
      </c>
      <c r="Q521" s="240">
        <f t="shared" si="102"/>
        <v>1.4976</v>
      </c>
      <c r="R521" s="239">
        <v>1</v>
      </c>
      <c r="S521" s="240">
        <f t="shared" si="105"/>
        <v>2.5</v>
      </c>
      <c r="T521" s="216" t="s">
        <v>48</v>
      </c>
      <c r="U521" s="196" t="str">
        <f t="shared" si="103"/>
        <v>2.5 Hrs</v>
      </c>
    </row>
    <row r="522" spans="3:21" s="185" customFormat="1" ht="20.25" customHeight="1">
      <c r="C522" s="198"/>
      <c r="D522" s="203">
        <f t="shared" si="110"/>
        <v>522</v>
      </c>
      <c r="E522" s="207" t="s">
        <v>528</v>
      </c>
      <c r="F522" s="211">
        <f t="shared" si="104"/>
        <v>521</v>
      </c>
      <c r="G522" s="206" t="s">
        <v>61</v>
      </c>
      <c r="H522" s="206"/>
      <c r="I522" s="224">
        <v>6</v>
      </c>
      <c r="J522" s="211" t="str">
        <f t="shared" si="113"/>
        <v>1664 mm id</v>
      </c>
      <c r="K522" s="234">
        <v>1</v>
      </c>
      <c r="L522" s="208" t="s">
        <v>81</v>
      </c>
      <c r="M522" s="227">
        <f t="shared" si="114"/>
        <v>1.6639999999999999</v>
      </c>
      <c r="N522" s="208" t="s">
        <v>139</v>
      </c>
      <c r="O522" s="246">
        <f>VLOOKUP(I522,BM!$A$2:$X$104,20,FALSE)</f>
        <v>0.5</v>
      </c>
      <c r="P522" s="208" t="s">
        <v>112</v>
      </c>
      <c r="Q522" s="240">
        <f t="shared" si="102"/>
        <v>0.83199999999999996</v>
      </c>
      <c r="R522" s="239">
        <v>1</v>
      </c>
      <c r="S522" s="240">
        <f t="shared" si="105"/>
        <v>1.83</v>
      </c>
      <c r="T522" s="216" t="s">
        <v>48</v>
      </c>
      <c r="U522" s="196" t="str">
        <f t="shared" si="103"/>
        <v>1.83 Hrs</v>
      </c>
    </row>
    <row r="523" spans="3:21" s="185" customFormat="1" ht="20.25" customHeight="1">
      <c r="C523" s="198"/>
      <c r="D523" s="203">
        <f t="shared" si="110"/>
        <v>523</v>
      </c>
      <c r="E523" s="207" t="s">
        <v>529</v>
      </c>
      <c r="F523" s="211">
        <f t="shared" si="104"/>
        <v>522</v>
      </c>
      <c r="G523" s="206" t="s">
        <v>286</v>
      </c>
      <c r="H523" s="206"/>
      <c r="I523" s="224">
        <v>18</v>
      </c>
      <c r="J523" s="211" t="str">
        <f t="shared" si="113"/>
        <v>1664 mm id</v>
      </c>
      <c r="K523" s="234">
        <v>1</v>
      </c>
      <c r="L523" s="208" t="s">
        <v>81</v>
      </c>
      <c r="M523" s="217">
        <v>1</v>
      </c>
      <c r="N523" s="208" t="s">
        <v>139</v>
      </c>
      <c r="O523" s="218">
        <v>3</v>
      </c>
      <c r="P523" s="208" t="s">
        <v>112</v>
      </c>
      <c r="Q523" s="240">
        <f t="shared" si="102"/>
        <v>3</v>
      </c>
      <c r="R523" s="239">
        <v>1</v>
      </c>
      <c r="S523" s="240">
        <f t="shared" si="105"/>
        <v>4</v>
      </c>
      <c r="T523" s="216" t="s">
        <v>48</v>
      </c>
      <c r="U523" s="196" t="str">
        <f t="shared" si="103"/>
        <v>4 Hrs</v>
      </c>
    </row>
    <row r="524" spans="3:21" s="185" customFormat="1" ht="20.25" customHeight="1">
      <c r="C524" s="198">
        <f>D524</f>
        <v>524</v>
      </c>
      <c r="D524" s="203">
        <f t="shared" si="110"/>
        <v>524</v>
      </c>
      <c r="E524" s="209" t="s">
        <v>530</v>
      </c>
      <c r="F524" s="210"/>
      <c r="G524" s="206"/>
      <c r="H524" s="206"/>
      <c r="I524" s="208"/>
      <c r="J524" s="208"/>
      <c r="K524" s="234"/>
      <c r="L524" s="208"/>
      <c r="M524" s="217"/>
      <c r="N524" s="208"/>
      <c r="O524" s="218"/>
      <c r="P524" s="208"/>
      <c r="Q524" s="240"/>
      <c r="R524" s="239"/>
      <c r="S524" s="240"/>
      <c r="T524" s="216"/>
      <c r="U524" s="196"/>
    </row>
    <row r="525" spans="3:21" s="185" customFormat="1" ht="20.25" customHeight="1">
      <c r="C525" s="198"/>
      <c r="D525" s="203">
        <f t="shared" si="110"/>
        <v>525</v>
      </c>
      <c r="E525" s="207" t="s">
        <v>531</v>
      </c>
      <c r="F525" s="211"/>
      <c r="G525" s="206" t="s">
        <v>312</v>
      </c>
      <c r="H525" s="206"/>
      <c r="I525" s="233">
        <f>I523</f>
        <v>18</v>
      </c>
      <c r="J525" s="211" t="str">
        <f t="shared" ref="J525:M525" si="115">J523</f>
        <v>1664 mm id</v>
      </c>
      <c r="K525" s="225">
        <f t="shared" si="115"/>
        <v>1</v>
      </c>
      <c r="L525" s="211" t="str">
        <f t="shared" si="115"/>
        <v>Nos</v>
      </c>
      <c r="M525" s="211">
        <f t="shared" si="115"/>
        <v>1</v>
      </c>
      <c r="N525" s="208" t="s">
        <v>39</v>
      </c>
      <c r="O525" s="218">
        <v>1</v>
      </c>
      <c r="P525" s="208" t="s">
        <v>41</v>
      </c>
      <c r="Q525" s="240">
        <f t="shared" si="102"/>
        <v>1</v>
      </c>
      <c r="R525" s="211"/>
      <c r="S525" s="240">
        <f t="shared" si="105"/>
        <v>1</v>
      </c>
      <c r="T525" s="216" t="s">
        <v>42</v>
      </c>
      <c r="U525" s="196" t="str">
        <f t="shared" si="103"/>
        <v>1 Days</v>
      </c>
    </row>
    <row r="526" spans="3:21" s="185" customFormat="1" ht="20.25" customHeight="1">
      <c r="C526" s="198">
        <f>D526</f>
        <v>526</v>
      </c>
      <c r="D526" s="203">
        <f t="shared" si="110"/>
        <v>526</v>
      </c>
      <c r="E526" s="209" t="s">
        <v>532</v>
      </c>
      <c r="F526" s="210">
        <f>C524</f>
        <v>524</v>
      </c>
      <c r="G526" s="206"/>
      <c r="H526" s="206"/>
      <c r="I526" s="208"/>
      <c r="J526" s="208"/>
      <c r="K526" s="234"/>
      <c r="L526" s="208"/>
      <c r="M526" s="217"/>
      <c r="N526" s="208"/>
      <c r="O526" s="218"/>
      <c r="P526" s="208"/>
      <c r="Q526" s="240"/>
      <c r="R526" s="239"/>
      <c r="S526" s="240"/>
      <c r="T526" s="216"/>
      <c r="U526" s="196"/>
    </row>
    <row r="527" spans="3:21" s="185" customFormat="1" ht="20.25" customHeight="1">
      <c r="C527" s="198"/>
      <c r="D527" s="203">
        <f t="shared" si="110"/>
        <v>527</v>
      </c>
      <c r="E527" s="207" t="s">
        <v>533</v>
      </c>
      <c r="F527" s="211"/>
      <c r="G527" s="206" t="s">
        <v>348</v>
      </c>
      <c r="H527" s="206"/>
      <c r="I527" s="224">
        <v>18</v>
      </c>
      <c r="J527" s="211" t="str">
        <f>J525</f>
        <v>1664 mm id</v>
      </c>
      <c r="K527" s="234">
        <v>1</v>
      </c>
      <c r="L527" s="208" t="s">
        <v>81</v>
      </c>
      <c r="M527" s="227">
        <f>LEFT(J527,SEARCH(" ",J527,1)-1)*K527*3.142/1000</f>
        <v>5.2282879999999992</v>
      </c>
      <c r="N527" s="208" t="s">
        <v>139</v>
      </c>
      <c r="O527" s="246">
        <f>VLOOKUP(I527,BM!$A$2:$X$104,15,FALSE)</f>
        <v>1</v>
      </c>
      <c r="P527" s="208" t="s">
        <v>112</v>
      </c>
      <c r="Q527" s="240">
        <f t="shared" si="102"/>
        <v>5.2282879999999992</v>
      </c>
      <c r="R527" s="239">
        <v>1</v>
      </c>
      <c r="S527" s="240">
        <f t="shared" si="105"/>
        <v>6.23</v>
      </c>
      <c r="T527" s="216" t="s">
        <v>48</v>
      </c>
      <c r="U527" s="196" t="str">
        <f t="shared" si="103"/>
        <v>6.23 Hrs</v>
      </c>
    </row>
    <row r="528" spans="3:21" s="185" customFormat="1" ht="20.25" customHeight="1">
      <c r="C528" s="198"/>
      <c r="D528" s="203">
        <f t="shared" si="110"/>
        <v>528</v>
      </c>
      <c r="E528" s="207" t="s">
        <v>534</v>
      </c>
      <c r="F528" s="211">
        <f t="shared" si="104"/>
        <v>527</v>
      </c>
      <c r="G528" s="206" t="s">
        <v>111</v>
      </c>
      <c r="H528" s="206"/>
      <c r="I528" s="224">
        <v>18</v>
      </c>
      <c r="J528" s="211" t="str">
        <f>J527</f>
        <v>1664 mm id</v>
      </c>
      <c r="K528" s="234">
        <v>1</v>
      </c>
      <c r="L528" s="208" t="s">
        <v>81</v>
      </c>
      <c r="M528" s="227">
        <f>LEFT(J528,SEARCH(" ",J528,1)-1)*K528*3.142/1000</f>
        <v>5.2282879999999992</v>
      </c>
      <c r="N528" s="208" t="s">
        <v>39</v>
      </c>
      <c r="O528" s="246">
        <f>VLOOKUP(I528,BM!$A$2:$X$104,16,FALSE)</f>
        <v>1</v>
      </c>
      <c r="P528" s="208" t="s">
        <v>112</v>
      </c>
      <c r="Q528" s="240">
        <f t="shared" si="102"/>
        <v>5.2282879999999992</v>
      </c>
      <c r="R528" s="239">
        <v>1</v>
      </c>
      <c r="S528" s="240">
        <f t="shared" si="105"/>
        <v>6.23</v>
      </c>
      <c r="T528" s="216" t="s">
        <v>48</v>
      </c>
      <c r="U528" s="196" t="str">
        <f t="shared" si="103"/>
        <v>6.23 Hrs</v>
      </c>
    </row>
    <row r="529" spans="3:21" s="185" customFormat="1" ht="20.25" customHeight="1">
      <c r="C529" s="198"/>
      <c r="D529" s="203">
        <f t="shared" si="110"/>
        <v>529</v>
      </c>
      <c r="E529" s="207" t="s">
        <v>535</v>
      </c>
      <c r="F529" s="211">
        <f t="shared" si="104"/>
        <v>528</v>
      </c>
      <c r="G529" s="206" t="s">
        <v>44</v>
      </c>
      <c r="H529" s="206"/>
      <c r="I529" s="224">
        <v>18</v>
      </c>
      <c r="J529" s="211" t="str">
        <f>J528</f>
        <v>1664 mm id</v>
      </c>
      <c r="K529" s="234">
        <v>1</v>
      </c>
      <c r="L529" s="208" t="s">
        <v>81</v>
      </c>
      <c r="M529" s="227">
        <f t="shared" ref="M529" si="116">LEFT(J529,SEARCH(" ",J529,1)-1)*K529*3.142/1000</f>
        <v>5.2282879999999992</v>
      </c>
      <c r="N529" s="208" t="s">
        <v>50</v>
      </c>
      <c r="O529" s="218">
        <v>0.25</v>
      </c>
      <c r="P529" s="208" t="s">
        <v>112</v>
      </c>
      <c r="Q529" s="240">
        <f t="shared" si="102"/>
        <v>1.3070719999999998</v>
      </c>
      <c r="R529" s="239">
        <v>1</v>
      </c>
      <c r="S529" s="240">
        <f t="shared" si="105"/>
        <v>2.31</v>
      </c>
      <c r="T529" s="216" t="s">
        <v>48</v>
      </c>
      <c r="U529" s="196" t="str">
        <f t="shared" si="103"/>
        <v>2.31 Hrs</v>
      </c>
    </row>
    <row r="530" spans="3:21" s="185" customFormat="1" ht="20.25" customHeight="1">
      <c r="C530" s="198">
        <f>D530</f>
        <v>530</v>
      </c>
      <c r="D530" s="203">
        <f t="shared" si="110"/>
        <v>530</v>
      </c>
      <c r="E530" s="209" t="s">
        <v>536</v>
      </c>
      <c r="F530" s="210">
        <f>C526</f>
        <v>526</v>
      </c>
      <c r="G530" s="206"/>
      <c r="H530" s="206"/>
      <c r="I530" s="208"/>
      <c r="J530" s="208"/>
      <c r="K530" s="234"/>
      <c r="L530" s="208"/>
      <c r="M530" s="217"/>
      <c r="N530" s="208"/>
      <c r="O530" s="218"/>
      <c r="P530" s="208"/>
      <c r="Q530" s="240"/>
      <c r="R530" s="239"/>
      <c r="S530" s="240"/>
      <c r="T530" s="216"/>
      <c r="U530" s="196"/>
    </row>
    <row r="531" spans="3:21" s="185" customFormat="1" ht="20.25" customHeight="1">
      <c r="C531" s="198"/>
      <c r="D531" s="203">
        <f t="shared" si="110"/>
        <v>531</v>
      </c>
      <c r="E531" s="207" t="s">
        <v>537</v>
      </c>
      <c r="F531" s="211"/>
      <c r="G531" s="206" t="s">
        <v>201</v>
      </c>
      <c r="H531" s="206"/>
      <c r="I531" s="224">
        <v>12</v>
      </c>
      <c r="J531" s="211" t="str">
        <f>J529</f>
        <v>1664 mm id</v>
      </c>
      <c r="K531" s="234">
        <v>1</v>
      </c>
      <c r="L531" s="208" t="s">
        <v>81</v>
      </c>
      <c r="M531" s="217">
        <v>1</v>
      </c>
      <c r="N531" s="208" t="s">
        <v>249</v>
      </c>
      <c r="O531" s="218">
        <v>1</v>
      </c>
      <c r="P531" s="208" t="s">
        <v>112</v>
      </c>
      <c r="Q531" s="240">
        <f t="shared" si="102"/>
        <v>1</v>
      </c>
      <c r="R531" s="239">
        <v>1</v>
      </c>
      <c r="S531" s="240">
        <f t="shared" si="105"/>
        <v>2</v>
      </c>
      <c r="T531" s="216" t="s">
        <v>48</v>
      </c>
      <c r="U531" s="196" t="str">
        <f t="shared" si="103"/>
        <v>2 Hrs</v>
      </c>
    </row>
    <row r="532" spans="3:21" s="185" customFormat="1" ht="20.25" customHeight="1">
      <c r="C532" s="198"/>
      <c r="D532" s="203">
        <f t="shared" si="110"/>
        <v>532</v>
      </c>
      <c r="E532" s="207" t="s">
        <v>538</v>
      </c>
      <c r="F532" s="211">
        <f t="shared" si="104"/>
        <v>531</v>
      </c>
      <c r="G532" s="206" t="s">
        <v>115</v>
      </c>
      <c r="H532" s="206"/>
      <c r="I532" s="224">
        <v>12</v>
      </c>
      <c r="J532" s="211" t="str">
        <f>J531</f>
        <v>1664 mm id</v>
      </c>
      <c r="K532" s="234">
        <v>1</v>
      </c>
      <c r="L532" s="208" t="s">
        <v>81</v>
      </c>
      <c r="M532" s="227">
        <f t="shared" ref="M532:M535" si="117">LEFT(J532,SEARCH(" ",J532,1)-1)*K532*3.142/1000</f>
        <v>5.2282879999999992</v>
      </c>
      <c r="N532" s="208" t="s">
        <v>249</v>
      </c>
      <c r="O532" s="246">
        <f>VLOOKUP(I532,BM!$A$2:$X$104,17,FALSE)</f>
        <v>2.5</v>
      </c>
      <c r="P532" s="208" t="s">
        <v>112</v>
      </c>
      <c r="Q532" s="240">
        <f t="shared" si="102"/>
        <v>13.070719999999998</v>
      </c>
      <c r="R532" s="239">
        <v>1</v>
      </c>
      <c r="S532" s="240">
        <f t="shared" si="105"/>
        <v>14.07</v>
      </c>
      <c r="T532" s="216" t="s">
        <v>48</v>
      </c>
      <c r="U532" s="196" t="str">
        <f t="shared" si="103"/>
        <v>14.07 Hrs</v>
      </c>
    </row>
    <row r="533" spans="3:21" s="185" customFormat="1" ht="20.25" customHeight="1">
      <c r="C533" s="198"/>
      <c r="D533" s="203">
        <f t="shared" si="110"/>
        <v>533</v>
      </c>
      <c r="E533" s="207" t="s">
        <v>539</v>
      </c>
      <c r="F533" s="211">
        <f t="shared" si="104"/>
        <v>532</v>
      </c>
      <c r="G533" s="206" t="s">
        <v>61</v>
      </c>
      <c r="H533" s="206"/>
      <c r="I533" s="224">
        <v>18</v>
      </c>
      <c r="J533" s="211" t="str">
        <f t="shared" ref="J533:J535" si="118">J531</f>
        <v>1664 mm id</v>
      </c>
      <c r="K533" s="234">
        <v>1</v>
      </c>
      <c r="L533" s="208" t="s">
        <v>81</v>
      </c>
      <c r="M533" s="227">
        <f t="shared" si="117"/>
        <v>5.2282879999999992</v>
      </c>
      <c r="N533" s="208" t="s">
        <v>249</v>
      </c>
      <c r="O533" s="246">
        <f>VLOOKUP(I533,BM!$A$2:$X$104,18,FALSE)</f>
        <v>1</v>
      </c>
      <c r="P533" s="208" t="s">
        <v>112</v>
      </c>
      <c r="Q533" s="240">
        <f t="shared" si="102"/>
        <v>5.2282879999999992</v>
      </c>
      <c r="R533" s="239">
        <v>1</v>
      </c>
      <c r="S533" s="240">
        <f t="shared" si="105"/>
        <v>6.23</v>
      </c>
      <c r="T533" s="216" t="s">
        <v>48</v>
      </c>
      <c r="U533" s="196" t="str">
        <f t="shared" si="103"/>
        <v>6.23 Hrs</v>
      </c>
    </row>
    <row r="534" spans="3:21" s="185" customFormat="1" ht="20.25" customHeight="1">
      <c r="C534" s="198"/>
      <c r="D534" s="203">
        <f t="shared" si="110"/>
        <v>534</v>
      </c>
      <c r="E534" s="207" t="s">
        <v>540</v>
      </c>
      <c r="F534" s="211">
        <f t="shared" si="104"/>
        <v>533</v>
      </c>
      <c r="G534" s="206" t="s">
        <v>115</v>
      </c>
      <c r="H534" s="206"/>
      <c r="I534" s="224">
        <v>6</v>
      </c>
      <c r="J534" s="211" t="str">
        <f t="shared" si="118"/>
        <v>1664 mm id</v>
      </c>
      <c r="K534" s="234">
        <v>1</v>
      </c>
      <c r="L534" s="208" t="s">
        <v>81</v>
      </c>
      <c r="M534" s="227">
        <f t="shared" si="117"/>
        <v>5.2282879999999992</v>
      </c>
      <c r="N534" s="208" t="s">
        <v>249</v>
      </c>
      <c r="O534" s="246">
        <f>VLOOKUP(I534,BM!$A$2:$X$104,17,FALSE)</f>
        <v>0.9</v>
      </c>
      <c r="P534" s="208" t="s">
        <v>112</v>
      </c>
      <c r="Q534" s="240">
        <f t="shared" si="102"/>
        <v>4.7054591999999991</v>
      </c>
      <c r="R534" s="239">
        <v>1</v>
      </c>
      <c r="S534" s="240">
        <f t="shared" si="105"/>
        <v>5.71</v>
      </c>
      <c r="T534" s="216" t="s">
        <v>48</v>
      </c>
      <c r="U534" s="196" t="str">
        <f t="shared" si="103"/>
        <v>5.71 Hrs</v>
      </c>
    </row>
    <row r="535" spans="3:21" s="185" customFormat="1" ht="20.25" customHeight="1">
      <c r="C535" s="198"/>
      <c r="D535" s="203">
        <f t="shared" si="110"/>
        <v>535</v>
      </c>
      <c r="E535" s="207" t="s">
        <v>541</v>
      </c>
      <c r="F535" s="211">
        <f t="shared" si="104"/>
        <v>534</v>
      </c>
      <c r="G535" s="206" t="s">
        <v>61</v>
      </c>
      <c r="H535" s="206"/>
      <c r="I535" s="224">
        <v>18</v>
      </c>
      <c r="J535" s="211" t="str">
        <f t="shared" si="118"/>
        <v>1664 mm id</v>
      </c>
      <c r="K535" s="234">
        <v>1</v>
      </c>
      <c r="L535" s="208" t="s">
        <v>81</v>
      </c>
      <c r="M535" s="227">
        <f t="shared" si="117"/>
        <v>5.2282879999999992</v>
      </c>
      <c r="N535" s="208" t="s">
        <v>249</v>
      </c>
      <c r="O535" s="246">
        <f>VLOOKUP(I535,BM!$A$2:$X$104,20,FALSE)</f>
        <v>0.5</v>
      </c>
      <c r="P535" s="208" t="s">
        <v>112</v>
      </c>
      <c r="Q535" s="240">
        <f t="shared" si="102"/>
        <v>2.6141439999999996</v>
      </c>
      <c r="R535" s="239">
        <v>1</v>
      </c>
      <c r="S535" s="240">
        <f t="shared" si="105"/>
        <v>3.61</v>
      </c>
      <c r="T535" s="216" t="s">
        <v>48</v>
      </c>
      <c r="U535" s="196" t="str">
        <f t="shared" si="103"/>
        <v>3.61 Hrs</v>
      </c>
    </row>
    <row r="536" spans="3:21" s="185" customFormat="1" ht="20.25" customHeight="1">
      <c r="C536" s="198">
        <f>D536</f>
        <v>536</v>
      </c>
      <c r="D536" s="203">
        <f t="shared" si="110"/>
        <v>536</v>
      </c>
      <c r="E536" s="209" t="s">
        <v>542</v>
      </c>
      <c r="F536" s="210">
        <f>C530</f>
        <v>530</v>
      </c>
      <c r="G536" s="206"/>
      <c r="H536" s="206"/>
      <c r="I536" s="208"/>
      <c r="J536" s="208"/>
      <c r="K536" s="234"/>
      <c r="L536" s="208"/>
      <c r="M536" s="217"/>
      <c r="N536" s="208"/>
      <c r="O536" s="218"/>
      <c r="P536" s="208"/>
      <c r="Q536" s="240">
        <f t="shared" si="102"/>
        <v>0</v>
      </c>
      <c r="R536" s="239"/>
      <c r="S536" s="240"/>
      <c r="T536" s="216"/>
      <c r="U536" s="196"/>
    </row>
    <row r="537" spans="3:21" s="185" customFormat="1" ht="20.25" customHeight="1">
      <c r="C537" s="198"/>
      <c r="D537" s="203">
        <f t="shared" si="110"/>
        <v>537</v>
      </c>
      <c r="E537" s="207" t="s">
        <v>543</v>
      </c>
      <c r="F537" s="211">
        <f t="shared" si="104"/>
        <v>536</v>
      </c>
      <c r="G537" s="206" t="s">
        <v>52</v>
      </c>
      <c r="H537" s="206"/>
      <c r="I537" s="224">
        <v>18</v>
      </c>
      <c r="J537" s="211" t="str">
        <f>J535</f>
        <v>1664 mm id</v>
      </c>
      <c r="K537" s="234">
        <v>1</v>
      </c>
      <c r="L537" s="208" t="s">
        <v>81</v>
      </c>
      <c r="M537" s="227">
        <f t="shared" ref="M537:M540" si="119">LEFT(J537,SEARCH(" ",J537,1)-1)*K537*3.142/1000</f>
        <v>5.2282879999999992</v>
      </c>
      <c r="N537" s="208" t="s">
        <v>139</v>
      </c>
      <c r="O537" s="246">
        <f>VLOOKUP(I537,BM!$A$2:$X$104,10,FALSE)</f>
        <v>1</v>
      </c>
      <c r="P537" s="208" t="s">
        <v>112</v>
      </c>
      <c r="Q537" s="240">
        <f t="shared" si="102"/>
        <v>5.2282879999999992</v>
      </c>
      <c r="R537" s="239">
        <v>1</v>
      </c>
      <c r="S537" s="240">
        <f t="shared" si="105"/>
        <v>6.23</v>
      </c>
      <c r="T537" s="216" t="s">
        <v>48</v>
      </c>
      <c r="U537" s="196" t="str">
        <f t="shared" si="103"/>
        <v>6.23 Hrs</v>
      </c>
    </row>
    <row r="538" spans="3:21" s="185" customFormat="1" ht="20.25" customHeight="1">
      <c r="C538" s="198"/>
      <c r="D538" s="203">
        <f t="shared" si="110"/>
        <v>538</v>
      </c>
      <c r="E538" s="207" t="s">
        <v>544</v>
      </c>
      <c r="F538" s="211">
        <f t="shared" si="104"/>
        <v>537</v>
      </c>
      <c r="G538" s="206" t="s">
        <v>44</v>
      </c>
      <c r="H538" s="206"/>
      <c r="I538" s="224">
        <v>18</v>
      </c>
      <c r="J538" s="211" t="str">
        <f t="shared" ref="J538:J540" si="120">J537</f>
        <v>1664 mm id</v>
      </c>
      <c r="K538" s="234">
        <v>1</v>
      </c>
      <c r="L538" s="208" t="s">
        <v>81</v>
      </c>
      <c r="M538" s="227">
        <f t="shared" si="119"/>
        <v>5.2282879999999992</v>
      </c>
      <c r="N538" s="208" t="s">
        <v>139</v>
      </c>
      <c r="O538" s="246">
        <f>VLOOKUP(I538,BM!$A$2:$X$104,16,FALSE)</f>
        <v>1</v>
      </c>
      <c r="P538" s="208" t="s">
        <v>112</v>
      </c>
      <c r="Q538" s="240">
        <f t="shared" si="102"/>
        <v>5.2282879999999992</v>
      </c>
      <c r="R538" s="239">
        <v>1</v>
      </c>
      <c r="S538" s="240">
        <f t="shared" si="105"/>
        <v>6.23</v>
      </c>
      <c r="T538" s="216" t="s">
        <v>48</v>
      </c>
      <c r="U538" s="196" t="str">
        <f t="shared" si="103"/>
        <v>6.23 Hrs</v>
      </c>
    </row>
    <row r="539" spans="3:21" s="185" customFormat="1" ht="20.25" customHeight="1">
      <c r="C539" s="198"/>
      <c r="D539" s="203">
        <f t="shared" si="110"/>
        <v>539</v>
      </c>
      <c r="E539" s="207" t="s">
        <v>545</v>
      </c>
      <c r="F539" s="211">
        <f t="shared" si="104"/>
        <v>538</v>
      </c>
      <c r="G539" s="206" t="s">
        <v>111</v>
      </c>
      <c r="H539" s="206"/>
      <c r="I539" s="224">
        <v>18</v>
      </c>
      <c r="J539" s="211" t="str">
        <f t="shared" si="120"/>
        <v>1664 mm id</v>
      </c>
      <c r="K539" s="234">
        <v>1</v>
      </c>
      <c r="L539" s="208" t="s">
        <v>81</v>
      </c>
      <c r="M539" s="227">
        <f t="shared" si="119"/>
        <v>5.2282879999999992</v>
      </c>
      <c r="N539" s="208" t="s">
        <v>139</v>
      </c>
      <c r="O539" s="218">
        <v>4</v>
      </c>
      <c r="P539" s="208" t="s">
        <v>112</v>
      </c>
      <c r="Q539" s="240">
        <f t="shared" si="102"/>
        <v>20.913151999999997</v>
      </c>
      <c r="R539" s="239">
        <v>1</v>
      </c>
      <c r="S539" s="240">
        <f t="shared" si="105"/>
        <v>21.91</v>
      </c>
      <c r="T539" s="216" t="s">
        <v>48</v>
      </c>
      <c r="U539" s="196" t="str">
        <f t="shared" si="103"/>
        <v>21.91 Hrs</v>
      </c>
    </row>
    <row r="540" spans="3:21" s="185" customFormat="1" ht="20.25" customHeight="1">
      <c r="C540" s="198"/>
      <c r="D540" s="203">
        <f t="shared" si="110"/>
        <v>540</v>
      </c>
      <c r="E540" s="207" t="s">
        <v>546</v>
      </c>
      <c r="F540" s="211">
        <f t="shared" si="104"/>
        <v>539</v>
      </c>
      <c r="G540" s="206" t="s">
        <v>63</v>
      </c>
      <c r="H540" s="206"/>
      <c r="I540" s="224">
        <v>18</v>
      </c>
      <c r="J540" s="211" t="str">
        <f t="shared" si="120"/>
        <v>1664 mm id</v>
      </c>
      <c r="K540" s="234">
        <v>1</v>
      </c>
      <c r="L540" s="208" t="s">
        <v>81</v>
      </c>
      <c r="M540" s="227">
        <f t="shared" si="119"/>
        <v>5.2282879999999992</v>
      </c>
      <c r="N540" s="208" t="s">
        <v>39</v>
      </c>
      <c r="O540" s="218">
        <v>3.5</v>
      </c>
      <c r="P540" s="208" t="s">
        <v>112</v>
      </c>
      <c r="Q540" s="240">
        <f t="shared" ref="Q540:Q602" si="121">M540*O540</f>
        <v>18.299007999999997</v>
      </c>
      <c r="R540" s="239">
        <v>1</v>
      </c>
      <c r="S540" s="240">
        <f t="shared" si="105"/>
        <v>19.3</v>
      </c>
      <c r="T540" s="216" t="s">
        <v>48</v>
      </c>
      <c r="U540" s="196" t="str">
        <f t="shared" ref="U540:U602" si="122">CONCATENATE(S540," ",T540)</f>
        <v>19.3 Hrs</v>
      </c>
    </row>
    <row r="541" spans="3:21" s="185" customFormat="1" ht="20.25" customHeight="1">
      <c r="C541" s="198">
        <f>D541</f>
        <v>541</v>
      </c>
      <c r="D541" s="203">
        <f t="shared" si="110"/>
        <v>541</v>
      </c>
      <c r="E541" s="209" t="s">
        <v>547</v>
      </c>
      <c r="F541" s="210">
        <f>C536</f>
        <v>536</v>
      </c>
      <c r="G541" s="206"/>
      <c r="H541" s="206"/>
      <c r="I541" s="208"/>
      <c r="J541" s="208"/>
      <c r="K541" s="234"/>
      <c r="L541" s="208"/>
      <c r="M541" s="217"/>
      <c r="N541" s="208"/>
      <c r="O541" s="218"/>
      <c r="P541" s="208"/>
      <c r="Q541" s="240"/>
      <c r="R541" s="239"/>
      <c r="S541" s="240"/>
      <c r="T541" s="216"/>
      <c r="U541" s="196"/>
    </row>
    <row r="542" spans="3:21" s="185" customFormat="1" ht="20.25" customHeight="1">
      <c r="C542" s="198"/>
      <c r="D542" s="203">
        <f t="shared" si="110"/>
        <v>542</v>
      </c>
      <c r="E542" s="207" t="s">
        <v>548</v>
      </c>
      <c r="F542" s="211"/>
      <c r="G542" s="206" t="s">
        <v>201</v>
      </c>
      <c r="H542" s="206"/>
      <c r="I542" s="224">
        <v>12</v>
      </c>
      <c r="J542" s="211" t="str">
        <f>J540</f>
        <v>1664 mm id</v>
      </c>
      <c r="K542" s="234">
        <v>1</v>
      </c>
      <c r="L542" s="208" t="s">
        <v>81</v>
      </c>
      <c r="M542" s="217">
        <v>1</v>
      </c>
      <c r="N542" s="208" t="s">
        <v>249</v>
      </c>
      <c r="O542" s="218">
        <v>1</v>
      </c>
      <c r="P542" s="208" t="s">
        <v>112</v>
      </c>
      <c r="Q542" s="240">
        <f t="shared" si="121"/>
        <v>1</v>
      </c>
      <c r="R542" s="239">
        <v>1</v>
      </c>
      <c r="S542" s="240">
        <f t="shared" ref="S542:S602" si="123">ROUND(Q542+R542,2)</f>
        <v>2</v>
      </c>
      <c r="T542" s="216" t="s">
        <v>48</v>
      </c>
      <c r="U542" s="196" t="str">
        <f t="shared" si="122"/>
        <v>2 Hrs</v>
      </c>
    </row>
    <row r="543" spans="3:21" s="185" customFormat="1" ht="20.25" customHeight="1">
      <c r="C543" s="198"/>
      <c r="D543" s="203">
        <f t="shared" si="110"/>
        <v>543</v>
      </c>
      <c r="E543" s="207" t="s">
        <v>549</v>
      </c>
      <c r="F543" s="211">
        <f t="shared" ref="F543:F602" si="124">D542</f>
        <v>542</v>
      </c>
      <c r="G543" s="206" t="s">
        <v>115</v>
      </c>
      <c r="H543" s="206"/>
      <c r="I543" s="224">
        <v>12</v>
      </c>
      <c r="J543" s="211" t="str">
        <f t="shared" ref="J543:J546" si="125">J542</f>
        <v>1664 mm id</v>
      </c>
      <c r="K543" s="234">
        <v>1</v>
      </c>
      <c r="L543" s="208" t="s">
        <v>81</v>
      </c>
      <c r="M543" s="227">
        <f t="shared" ref="M543:M546" si="126">LEFT(J543,SEARCH(" ",J543,1)-1)*K543*3.142/1000</f>
        <v>5.2282879999999992</v>
      </c>
      <c r="N543" s="208" t="s">
        <v>249</v>
      </c>
      <c r="O543" s="246">
        <f>VLOOKUP(I543,BM!$A$2:$X$104,17,FALSE)</f>
        <v>2.5</v>
      </c>
      <c r="P543" s="208" t="s">
        <v>112</v>
      </c>
      <c r="Q543" s="240">
        <f t="shared" si="121"/>
        <v>13.070719999999998</v>
      </c>
      <c r="R543" s="239">
        <v>1</v>
      </c>
      <c r="S543" s="240">
        <f t="shared" si="123"/>
        <v>14.07</v>
      </c>
      <c r="T543" s="216" t="s">
        <v>48</v>
      </c>
      <c r="U543" s="196" t="str">
        <f t="shared" si="122"/>
        <v>14.07 Hrs</v>
      </c>
    </row>
    <row r="544" spans="3:21" s="185" customFormat="1" ht="20.25" customHeight="1">
      <c r="C544" s="198"/>
      <c r="D544" s="203">
        <f t="shared" si="110"/>
        <v>544</v>
      </c>
      <c r="E544" s="207" t="s">
        <v>550</v>
      </c>
      <c r="F544" s="211">
        <f t="shared" si="124"/>
        <v>543</v>
      </c>
      <c r="G544" s="206" t="s">
        <v>61</v>
      </c>
      <c r="H544" s="206"/>
      <c r="I544" s="224">
        <v>18</v>
      </c>
      <c r="J544" s="211" t="str">
        <f t="shared" si="125"/>
        <v>1664 mm id</v>
      </c>
      <c r="K544" s="234">
        <v>1</v>
      </c>
      <c r="L544" s="208" t="s">
        <v>81</v>
      </c>
      <c r="M544" s="227">
        <f t="shared" si="126"/>
        <v>5.2282879999999992</v>
      </c>
      <c r="N544" s="208" t="s">
        <v>249</v>
      </c>
      <c r="O544" s="246">
        <f>VLOOKUP(I544,BM!$A$2:$X$104,18,FALSE)</f>
        <v>1</v>
      </c>
      <c r="P544" s="208" t="s">
        <v>112</v>
      </c>
      <c r="Q544" s="240">
        <f t="shared" si="121"/>
        <v>5.2282879999999992</v>
      </c>
      <c r="R544" s="239">
        <v>1</v>
      </c>
      <c r="S544" s="240">
        <f t="shared" si="123"/>
        <v>6.23</v>
      </c>
      <c r="T544" s="216" t="s">
        <v>48</v>
      </c>
      <c r="U544" s="196" t="str">
        <f t="shared" si="122"/>
        <v>6.23 Hrs</v>
      </c>
    </row>
    <row r="545" spans="3:21" s="185" customFormat="1" ht="20.25" customHeight="1">
      <c r="C545" s="198"/>
      <c r="D545" s="203">
        <f t="shared" si="110"/>
        <v>545</v>
      </c>
      <c r="E545" s="207" t="s">
        <v>551</v>
      </c>
      <c r="F545" s="211">
        <f t="shared" si="124"/>
        <v>544</v>
      </c>
      <c r="G545" s="206" t="s">
        <v>115</v>
      </c>
      <c r="H545" s="206"/>
      <c r="I545" s="224">
        <v>6</v>
      </c>
      <c r="J545" s="211" t="str">
        <f t="shared" si="125"/>
        <v>1664 mm id</v>
      </c>
      <c r="K545" s="234">
        <v>1</v>
      </c>
      <c r="L545" s="208" t="s">
        <v>81</v>
      </c>
      <c r="M545" s="227">
        <f t="shared" si="126"/>
        <v>5.2282879999999992</v>
      </c>
      <c r="N545" s="208" t="s">
        <v>249</v>
      </c>
      <c r="O545" s="246">
        <f>VLOOKUP(I545,BM!$A$2:$X$104,17,FALSE)</f>
        <v>0.9</v>
      </c>
      <c r="P545" s="208" t="s">
        <v>112</v>
      </c>
      <c r="Q545" s="240">
        <f t="shared" si="121"/>
        <v>4.7054591999999991</v>
      </c>
      <c r="R545" s="239">
        <v>1</v>
      </c>
      <c r="S545" s="240">
        <f t="shared" si="123"/>
        <v>5.71</v>
      </c>
      <c r="T545" s="216" t="s">
        <v>48</v>
      </c>
      <c r="U545" s="196" t="str">
        <f t="shared" si="122"/>
        <v>5.71 Hrs</v>
      </c>
    </row>
    <row r="546" spans="3:21" s="185" customFormat="1" ht="20.25" customHeight="1">
      <c r="C546" s="198"/>
      <c r="D546" s="203">
        <f t="shared" si="110"/>
        <v>546</v>
      </c>
      <c r="E546" s="207" t="s">
        <v>552</v>
      </c>
      <c r="F546" s="211">
        <f t="shared" si="124"/>
        <v>545</v>
      </c>
      <c r="G546" s="206" t="s">
        <v>61</v>
      </c>
      <c r="H546" s="206"/>
      <c r="I546" s="224">
        <v>18</v>
      </c>
      <c r="J546" s="211" t="str">
        <f t="shared" si="125"/>
        <v>1664 mm id</v>
      </c>
      <c r="K546" s="234">
        <v>1</v>
      </c>
      <c r="L546" s="208" t="s">
        <v>81</v>
      </c>
      <c r="M546" s="227">
        <f t="shared" si="126"/>
        <v>5.2282879999999992</v>
      </c>
      <c r="N546" s="208" t="s">
        <v>249</v>
      </c>
      <c r="O546" s="246">
        <f>VLOOKUP(I546,BM!$A$2:$X$104,20,FALSE)</f>
        <v>0.5</v>
      </c>
      <c r="P546" s="208" t="s">
        <v>112</v>
      </c>
      <c r="Q546" s="240">
        <f t="shared" si="121"/>
        <v>2.6141439999999996</v>
      </c>
      <c r="R546" s="239">
        <v>1</v>
      </c>
      <c r="S546" s="240">
        <f t="shared" si="123"/>
        <v>3.61</v>
      </c>
      <c r="T546" s="216" t="s">
        <v>48</v>
      </c>
      <c r="U546" s="196" t="str">
        <f t="shared" si="122"/>
        <v>3.61 Hrs</v>
      </c>
    </row>
    <row r="547" spans="3:21" s="185" customFormat="1" ht="20.25" customHeight="1">
      <c r="C547" s="198">
        <f>D547</f>
        <v>547</v>
      </c>
      <c r="D547" s="203">
        <f t="shared" si="110"/>
        <v>547</v>
      </c>
      <c r="E547" s="209" t="s">
        <v>553</v>
      </c>
      <c r="F547" s="210">
        <f>C541</f>
        <v>541</v>
      </c>
      <c r="G547" s="206"/>
      <c r="H547" s="206"/>
      <c r="I547" s="208"/>
      <c r="J547" s="208"/>
      <c r="K547" s="234"/>
      <c r="L547" s="208"/>
      <c r="M547" s="217"/>
      <c r="N547" s="208"/>
      <c r="O547" s="218"/>
      <c r="P547" s="208"/>
      <c r="Q547" s="240"/>
      <c r="R547" s="239"/>
      <c r="S547" s="240"/>
      <c r="T547" s="216"/>
      <c r="U547" s="196"/>
    </row>
    <row r="548" spans="3:21" s="185" customFormat="1" ht="20.25" customHeight="1">
      <c r="C548" s="198"/>
      <c r="D548" s="203">
        <f t="shared" si="110"/>
        <v>548</v>
      </c>
      <c r="E548" s="207" t="s">
        <v>554</v>
      </c>
      <c r="F548" s="211"/>
      <c r="G548" s="206" t="s">
        <v>312</v>
      </c>
      <c r="H548" s="206"/>
      <c r="I548" s="233">
        <f>I546</f>
        <v>18</v>
      </c>
      <c r="J548" s="211" t="str">
        <f t="shared" ref="J548:L548" si="127">J546</f>
        <v>1664 mm id</v>
      </c>
      <c r="K548" s="225">
        <f t="shared" si="127"/>
        <v>1</v>
      </c>
      <c r="L548" s="211" t="str">
        <f t="shared" si="127"/>
        <v>Nos</v>
      </c>
      <c r="M548" s="208">
        <v>1</v>
      </c>
      <c r="N548" s="208" t="s">
        <v>39</v>
      </c>
      <c r="O548" s="218">
        <v>1</v>
      </c>
      <c r="P548" s="208" t="s">
        <v>41</v>
      </c>
      <c r="Q548" s="240">
        <f t="shared" si="121"/>
        <v>1</v>
      </c>
      <c r="R548" s="211"/>
      <c r="S548" s="240">
        <f t="shared" si="123"/>
        <v>1</v>
      </c>
      <c r="T548" s="216" t="s">
        <v>42</v>
      </c>
      <c r="U548" s="196" t="str">
        <f t="shared" si="122"/>
        <v>1 Days</v>
      </c>
    </row>
    <row r="549" spans="3:21" s="185" customFormat="1" ht="20.25" customHeight="1">
      <c r="C549" s="198">
        <f>D549</f>
        <v>549</v>
      </c>
      <c r="D549" s="203">
        <f t="shared" si="110"/>
        <v>549</v>
      </c>
      <c r="E549" s="209" t="s">
        <v>555</v>
      </c>
      <c r="F549" s="210">
        <f>D547</f>
        <v>547</v>
      </c>
      <c r="G549" s="206"/>
      <c r="H549" s="206"/>
      <c r="I549" s="208"/>
      <c r="J549" s="208"/>
      <c r="K549" s="234"/>
      <c r="L549" s="208"/>
      <c r="M549" s="217"/>
      <c r="N549" s="208"/>
      <c r="O549" s="218"/>
      <c r="P549" s="208"/>
      <c r="Q549" s="240"/>
      <c r="R549" s="239"/>
      <c r="S549" s="240"/>
      <c r="T549" s="216"/>
      <c r="U549" s="196"/>
    </row>
    <row r="550" spans="3:21" s="185" customFormat="1" ht="20.25" customHeight="1">
      <c r="C550" s="198"/>
      <c r="D550" s="203">
        <f t="shared" si="110"/>
        <v>550</v>
      </c>
      <c r="E550" s="207" t="s">
        <v>556</v>
      </c>
      <c r="F550" s="211"/>
      <c r="G550" s="206" t="s">
        <v>44</v>
      </c>
      <c r="H550" s="206"/>
      <c r="I550" s="224">
        <v>20</v>
      </c>
      <c r="J550" s="211" t="str">
        <f>J548</f>
        <v>1664 mm id</v>
      </c>
      <c r="K550" s="234">
        <v>1</v>
      </c>
      <c r="L550" s="208" t="s">
        <v>81</v>
      </c>
      <c r="M550" s="217">
        <v>1</v>
      </c>
      <c r="N550" s="208" t="s">
        <v>81</v>
      </c>
      <c r="O550" s="218">
        <v>3</v>
      </c>
      <c r="P550" s="208" t="s">
        <v>112</v>
      </c>
      <c r="Q550" s="240">
        <f t="shared" si="121"/>
        <v>3</v>
      </c>
      <c r="R550" s="239">
        <v>1</v>
      </c>
      <c r="S550" s="240">
        <f t="shared" si="123"/>
        <v>4</v>
      </c>
      <c r="T550" s="216" t="s">
        <v>48</v>
      </c>
      <c r="U550" s="196" t="str">
        <f t="shared" si="122"/>
        <v>4 Hrs</v>
      </c>
    </row>
    <row r="551" spans="3:21" s="185" customFormat="1" ht="20.25" customHeight="1">
      <c r="C551" s="198"/>
      <c r="D551" s="203">
        <f t="shared" si="110"/>
        <v>551</v>
      </c>
      <c r="E551" s="207" t="s">
        <v>557</v>
      </c>
      <c r="F551" s="211">
        <f t="shared" si="124"/>
        <v>550</v>
      </c>
      <c r="G551" s="206" t="s">
        <v>44</v>
      </c>
      <c r="H551" s="206"/>
      <c r="I551" s="224">
        <v>20</v>
      </c>
      <c r="J551" s="211" t="str">
        <f>J550</f>
        <v>1664 mm id</v>
      </c>
      <c r="K551" s="234">
        <v>1</v>
      </c>
      <c r="L551" s="208" t="s">
        <v>81</v>
      </c>
      <c r="M551" s="217">
        <v>1</v>
      </c>
      <c r="N551" s="208" t="s">
        <v>81</v>
      </c>
      <c r="O551" s="218">
        <v>1</v>
      </c>
      <c r="P551" s="208" t="s">
        <v>112</v>
      </c>
      <c r="Q551" s="240">
        <f t="shared" si="121"/>
        <v>1</v>
      </c>
      <c r="R551" s="239">
        <v>1</v>
      </c>
      <c r="S551" s="240">
        <f t="shared" si="123"/>
        <v>2</v>
      </c>
      <c r="T551" s="216" t="s">
        <v>48</v>
      </c>
      <c r="U551" s="196" t="str">
        <f t="shared" si="122"/>
        <v>2 Hrs</v>
      </c>
    </row>
    <row r="552" spans="3:21" s="185" customFormat="1" ht="20.25" customHeight="1">
      <c r="C552" s="198">
        <f>D552</f>
        <v>552</v>
      </c>
      <c r="D552" s="203">
        <f t="shared" si="110"/>
        <v>552</v>
      </c>
      <c r="E552" s="209" t="s">
        <v>558</v>
      </c>
      <c r="F552" s="210">
        <f>D549</f>
        <v>549</v>
      </c>
      <c r="G552" s="206"/>
      <c r="H552" s="206"/>
      <c r="I552" s="208"/>
      <c r="J552" s="208"/>
      <c r="K552" s="234"/>
      <c r="L552" s="208"/>
      <c r="M552" s="217"/>
      <c r="N552" s="208"/>
      <c r="O552" s="218"/>
      <c r="P552" s="208"/>
      <c r="Q552" s="240"/>
      <c r="R552" s="239"/>
      <c r="S552" s="240"/>
      <c r="T552" s="216"/>
      <c r="U552" s="196"/>
    </row>
    <row r="553" spans="3:21" s="185" customFormat="1" ht="20.25" customHeight="1">
      <c r="C553" s="198"/>
      <c r="D553" s="203">
        <f t="shared" si="110"/>
        <v>553</v>
      </c>
      <c r="E553" s="207" t="s">
        <v>559</v>
      </c>
      <c r="F553" s="211"/>
      <c r="G553" s="206" t="s">
        <v>52</v>
      </c>
      <c r="H553" s="206"/>
      <c r="I553" s="208"/>
      <c r="J553" s="234" t="s">
        <v>560</v>
      </c>
      <c r="K553" s="234">
        <v>1</v>
      </c>
      <c r="L553" s="208" t="s">
        <v>39</v>
      </c>
      <c r="M553" s="217">
        <v>1</v>
      </c>
      <c r="N553" s="208" t="s">
        <v>81</v>
      </c>
      <c r="O553" s="218">
        <v>3</v>
      </c>
      <c r="P553" s="208" t="s">
        <v>112</v>
      </c>
      <c r="Q553" s="240">
        <f t="shared" si="121"/>
        <v>3</v>
      </c>
      <c r="R553" s="239">
        <v>1</v>
      </c>
      <c r="S553" s="240">
        <f t="shared" si="123"/>
        <v>4</v>
      </c>
      <c r="T553" s="216" t="s">
        <v>48</v>
      </c>
      <c r="U553" s="196" t="str">
        <f t="shared" si="122"/>
        <v>4 Hrs</v>
      </c>
    </row>
    <row r="554" spans="3:21" s="185" customFormat="1" ht="20.25" customHeight="1">
      <c r="C554" s="198"/>
      <c r="D554" s="203">
        <f t="shared" si="110"/>
        <v>554</v>
      </c>
      <c r="E554" s="207" t="s">
        <v>559</v>
      </c>
      <c r="F554" s="211">
        <f t="shared" si="124"/>
        <v>553</v>
      </c>
      <c r="G554" s="206" t="s">
        <v>52</v>
      </c>
      <c r="H554" s="206"/>
      <c r="I554" s="208"/>
      <c r="J554" s="234" t="s">
        <v>560</v>
      </c>
      <c r="K554" s="234">
        <v>1</v>
      </c>
      <c r="L554" s="208" t="s">
        <v>39</v>
      </c>
      <c r="M554" s="217">
        <v>1</v>
      </c>
      <c r="N554" s="208" t="s">
        <v>81</v>
      </c>
      <c r="O554" s="218">
        <v>3</v>
      </c>
      <c r="P554" s="208" t="s">
        <v>112</v>
      </c>
      <c r="Q554" s="240">
        <f t="shared" si="121"/>
        <v>3</v>
      </c>
      <c r="R554" s="239">
        <v>1</v>
      </c>
      <c r="S554" s="240">
        <f t="shared" si="123"/>
        <v>4</v>
      </c>
      <c r="T554" s="216" t="s">
        <v>48</v>
      </c>
      <c r="U554" s="196" t="str">
        <f t="shared" si="122"/>
        <v>4 Hrs</v>
      </c>
    </row>
    <row r="555" spans="3:21" s="185" customFormat="1" ht="20.25" customHeight="1">
      <c r="C555" s="198">
        <f>D555</f>
        <v>555</v>
      </c>
      <c r="D555" s="203">
        <f t="shared" si="110"/>
        <v>555</v>
      </c>
      <c r="E555" s="209" t="s">
        <v>561</v>
      </c>
      <c r="F555" s="210">
        <f>D552</f>
        <v>552</v>
      </c>
      <c r="G555" s="206"/>
      <c r="H555" s="206"/>
      <c r="I555" s="208"/>
      <c r="J555" s="208"/>
      <c r="K555" s="234"/>
      <c r="L555" s="208"/>
      <c r="M555" s="217"/>
      <c r="N555" s="208"/>
      <c r="O555" s="218"/>
      <c r="P555" s="208"/>
      <c r="Q555" s="240"/>
      <c r="R555" s="239"/>
      <c r="S555" s="240"/>
      <c r="T555" s="216"/>
      <c r="U555" s="196"/>
    </row>
    <row r="556" spans="3:21" s="185" customFormat="1" ht="20.25" customHeight="1">
      <c r="C556" s="198"/>
      <c r="D556" s="203">
        <f t="shared" si="110"/>
        <v>556</v>
      </c>
      <c r="E556" s="207" t="s">
        <v>559</v>
      </c>
      <c r="F556" s="211"/>
      <c r="G556" s="206" t="s">
        <v>121</v>
      </c>
      <c r="H556" s="206"/>
      <c r="I556" s="208"/>
      <c r="J556" s="234" t="s">
        <v>560</v>
      </c>
      <c r="K556" s="234">
        <v>1</v>
      </c>
      <c r="L556" s="208" t="s">
        <v>39</v>
      </c>
      <c r="M556" s="217">
        <v>1</v>
      </c>
      <c r="N556" s="208" t="s">
        <v>81</v>
      </c>
      <c r="O556" s="218">
        <v>2</v>
      </c>
      <c r="P556" s="208" t="s">
        <v>112</v>
      </c>
      <c r="Q556" s="240">
        <f t="shared" si="121"/>
        <v>2</v>
      </c>
      <c r="R556" s="239">
        <v>1</v>
      </c>
      <c r="S556" s="240">
        <f t="shared" si="123"/>
        <v>3</v>
      </c>
      <c r="T556" s="216" t="s">
        <v>48</v>
      </c>
      <c r="U556" s="196" t="str">
        <f t="shared" si="122"/>
        <v>3 Hrs</v>
      </c>
    </row>
    <row r="557" spans="3:21" s="185" customFormat="1" ht="20.25" customHeight="1">
      <c r="C557" s="198"/>
      <c r="D557" s="203">
        <f t="shared" si="110"/>
        <v>557</v>
      </c>
      <c r="E557" s="207" t="s">
        <v>559</v>
      </c>
      <c r="F557" s="211">
        <f t="shared" si="124"/>
        <v>556</v>
      </c>
      <c r="G557" s="206" t="s">
        <v>121</v>
      </c>
      <c r="H557" s="206"/>
      <c r="I557" s="208"/>
      <c r="J557" s="234" t="s">
        <v>560</v>
      </c>
      <c r="K557" s="234">
        <v>1</v>
      </c>
      <c r="L557" s="208" t="s">
        <v>39</v>
      </c>
      <c r="M557" s="217">
        <v>1</v>
      </c>
      <c r="N557" s="208" t="s">
        <v>81</v>
      </c>
      <c r="O557" s="218">
        <v>2</v>
      </c>
      <c r="P557" s="208" t="s">
        <v>112</v>
      </c>
      <c r="Q557" s="240">
        <f t="shared" si="121"/>
        <v>2</v>
      </c>
      <c r="R557" s="239">
        <v>1</v>
      </c>
      <c r="S557" s="240">
        <f t="shared" si="123"/>
        <v>3</v>
      </c>
      <c r="T557" s="216" t="s">
        <v>48</v>
      </c>
      <c r="U557" s="196" t="str">
        <f t="shared" si="122"/>
        <v>3 Hrs</v>
      </c>
    </row>
    <row r="558" spans="3:21" s="185" customFormat="1" ht="20.25" customHeight="1">
      <c r="C558" s="198">
        <f>D558</f>
        <v>558</v>
      </c>
      <c r="D558" s="203">
        <f t="shared" si="110"/>
        <v>558</v>
      </c>
      <c r="E558" s="209" t="s">
        <v>562</v>
      </c>
      <c r="F558" s="210">
        <f>D555</f>
        <v>555</v>
      </c>
      <c r="G558" s="206"/>
      <c r="H558" s="206"/>
      <c r="I558" s="208"/>
      <c r="J558" s="208"/>
      <c r="K558" s="234"/>
      <c r="L558" s="208"/>
      <c r="M558" s="217"/>
      <c r="N558" s="208"/>
      <c r="O558" s="218"/>
      <c r="P558" s="208"/>
      <c r="Q558" s="240"/>
      <c r="R558" s="239"/>
      <c r="S558" s="240"/>
      <c r="T558" s="216"/>
      <c r="U558" s="196"/>
    </row>
    <row r="559" spans="3:21" s="185" customFormat="1" ht="20.25" customHeight="1">
      <c r="C559" s="198"/>
      <c r="D559" s="203">
        <f t="shared" si="110"/>
        <v>559</v>
      </c>
      <c r="E559" s="207" t="s">
        <v>563</v>
      </c>
      <c r="F559" s="211"/>
      <c r="G559" s="206" t="s">
        <v>111</v>
      </c>
      <c r="H559" s="206"/>
      <c r="I559" s="208"/>
      <c r="J559" s="234" t="s">
        <v>560</v>
      </c>
      <c r="K559" s="234">
        <v>1</v>
      </c>
      <c r="L559" s="208" t="s">
        <v>564</v>
      </c>
      <c r="M559" s="217">
        <v>1</v>
      </c>
      <c r="N559" s="208" t="s">
        <v>81</v>
      </c>
      <c r="O559" s="246">
        <f>VLOOKUP(J559,BM!$A$2:$X$104,11,FALSE)</f>
        <v>1</v>
      </c>
      <c r="P559" s="208" t="s">
        <v>112</v>
      </c>
      <c r="Q559" s="240">
        <f t="shared" si="121"/>
        <v>1</v>
      </c>
      <c r="R559" s="239">
        <v>1</v>
      </c>
      <c r="S559" s="240">
        <f t="shared" si="123"/>
        <v>2</v>
      </c>
      <c r="T559" s="216" t="s">
        <v>48</v>
      </c>
      <c r="U559" s="196" t="str">
        <f t="shared" si="122"/>
        <v>2 Hrs</v>
      </c>
    </row>
    <row r="560" spans="3:21" s="185" customFormat="1" ht="20.25" customHeight="1">
      <c r="C560" s="198"/>
      <c r="D560" s="203">
        <f t="shared" si="110"/>
        <v>560</v>
      </c>
      <c r="E560" s="207" t="s">
        <v>565</v>
      </c>
      <c r="F560" s="211">
        <f t="shared" si="124"/>
        <v>559</v>
      </c>
      <c r="G560" s="206" t="s">
        <v>111</v>
      </c>
      <c r="H560" s="206"/>
      <c r="I560" s="208"/>
      <c r="J560" s="225" t="str">
        <f>J559</f>
        <v>40NB</v>
      </c>
      <c r="K560" s="234">
        <v>1</v>
      </c>
      <c r="L560" s="208" t="s">
        <v>564</v>
      </c>
      <c r="M560" s="217">
        <v>1</v>
      </c>
      <c r="N560" s="208" t="s">
        <v>81</v>
      </c>
      <c r="O560" s="246">
        <f>VLOOKUP(J560,BM!$A$2:$X$104,11,FALSE)</f>
        <v>1</v>
      </c>
      <c r="P560" s="208" t="s">
        <v>112</v>
      </c>
      <c r="Q560" s="240">
        <f t="shared" si="121"/>
        <v>1</v>
      </c>
      <c r="R560" s="239">
        <v>1</v>
      </c>
      <c r="S560" s="240">
        <f t="shared" si="123"/>
        <v>2</v>
      </c>
      <c r="T560" s="216" t="s">
        <v>48</v>
      </c>
      <c r="U560" s="196" t="str">
        <f t="shared" si="122"/>
        <v>2 Hrs</v>
      </c>
    </row>
    <row r="561" spans="3:21" s="185" customFormat="1" ht="20.25" customHeight="1">
      <c r="C561" s="198">
        <f>D561</f>
        <v>561</v>
      </c>
      <c r="D561" s="203">
        <f t="shared" si="110"/>
        <v>561</v>
      </c>
      <c r="E561" s="209" t="s">
        <v>566</v>
      </c>
      <c r="F561" s="210">
        <f>D558</f>
        <v>558</v>
      </c>
      <c r="G561" s="206"/>
      <c r="H561" s="206"/>
      <c r="I561" s="208"/>
      <c r="J561" s="208"/>
      <c r="K561" s="234"/>
      <c r="L561" s="208"/>
      <c r="M561" s="217"/>
      <c r="N561" s="208"/>
      <c r="O561" s="218"/>
      <c r="P561" s="208"/>
      <c r="Q561" s="240"/>
      <c r="R561" s="239"/>
      <c r="S561" s="240"/>
      <c r="T561" s="216"/>
      <c r="U561" s="196"/>
    </row>
    <row r="562" spans="3:21" s="185" customFormat="1" ht="20.25" customHeight="1">
      <c r="C562" s="198"/>
      <c r="D562" s="203">
        <f t="shared" si="110"/>
        <v>562</v>
      </c>
      <c r="E562" s="207" t="s">
        <v>567</v>
      </c>
      <c r="F562" s="211"/>
      <c r="G562" s="206" t="s">
        <v>568</v>
      </c>
      <c r="H562" s="206"/>
      <c r="I562" s="208"/>
      <c r="J562" s="225" t="str">
        <f>J560</f>
        <v>40NB</v>
      </c>
      <c r="K562" s="234">
        <v>1</v>
      </c>
      <c r="L562" s="208" t="s">
        <v>564</v>
      </c>
      <c r="M562" s="217">
        <v>1</v>
      </c>
      <c r="N562" s="208" t="s">
        <v>81</v>
      </c>
      <c r="O562" s="218">
        <v>0.5</v>
      </c>
      <c r="P562" s="208" t="s">
        <v>112</v>
      </c>
      <c r="Q562" s="240">
        <f t="shared" si="121"/>
        <v>0.5</v>
      </c>
      <c r="R562" s="239">
        <v>1</v>
      </c>
      <c r="S562" s="240">
        <f t="shared" si="123"/>
        <v>1.5</v>
      </c>
      <c r="T562" s="216" t="s">
        <v>48</v>
      </c>
      <c r="U562" s="196" t="str">
        <f t="shared" si="122"/>
        <v>1.5 Hrs</v>
      </c>
    </row>
    <row r="563" spans="3:21" s="185" customFormat="1" ht="20.25" customHeight="1">
      <c r="C563" s="198"/>
      <c r="D563" s="203">
        <f t="shared" si="110"/>
        <v>563</v>
      </c>
      <c r="E563" s="207" t="s">
        <v>569</v>
      </c>
      <c r="F563" s="211">
        <f t="shared" si="124"/>
        <v>562</v>
      </c>
      <c r="G563" s="206" t="s">
        <v>568</v>
      </c>
      <c r="H563" s="206"/>
      <c r="I563" s="208"/>
      <c r="J563" s="225" t="str">
        <f>J560</f>
        <v>40NB</v>
      </c>
      <c r="K563" s="234">
        <v>1</v>
      </c>
      <c r="L563" s="208" t="s">
        <v>564</v>
      </c>
      <c r="M563" s="217">
        <v>1</v>
      </c>
      <c r="N563" s="208" t="s">
        <v>81</v>
      </c>
      <c r="O563" s="218">
        <v>0.5</v>
      </c>
      <c r="P563" s="208" t="s">
        <v>112</v>
      </c>
      <c r="Q563" s="240">
        <f t="shared" si="121"/>
        <v>0.5</v>
      </c>
      <c r="R563" s="239">
        <v>1</v>
      </c>
      <c r="S563" s="240">
        <f t="shared" si="123"/>
        <v>1.5</v>
      </c>
      <c r="T563" s="216" t="s">
        <v>48</v>
      </c>
      <c r="U563" s="196" t="str">
        <f t="shared" si="122"/>
        <v>1.5 Hrs</v>
      </c>
    </row>
    <row r="564" spans="3:21" s="185" customFormat="1" ht="20.25" customHeight="1">
      <c r="C564" s="198">
        <f>D564</f>
        <v>564</v>
      </c>
      <c r="D564" s="203">
        <f t="shared" si="110"/>
        <v>564</v>
      </c>
      <c r="E564" s="209" t="s">
        <v>570</v>
      </c>
      <c r="F564" s="210">
        <f>D561</f>
        <v>561</v>
      </c>
      <c r="G564" s="206"/>
      <c r="H564" s="206"/>
      <c r="I564" s="208"/>
      <c r="J564" s="208"/>
      <c r="K564" s="234"/>
      <c r="L564" s="208"/>
      <c r="M564" s="217"/>
      <c r="N564" s="208"/>
      <c r="O564" s="218"/>
      <c r="P564" s="208"/>
      <c r="Q564" s="240"/>
      <c r="R564" s="239"/>
      <c r="S564" s="240"/>
      <c r="T564" s="216"/>
      <c r="U564" s="196"/>
    </row>
    <row r="565" spans="3:21" s="185" customFormat="1" ht="20.25" customHeight="1">
      <c r="C565" s="198"/>
      <c r="D565" s="203">
        <f t="shared" si="110"/>
        <v>565</v>
      </c>
      <c r="E565" s="207" t="s">
        <v>571</v>
      </c>
      <c r="F565" s="211"/>
      <c r="G565" s="206" t="s">
        <v>37</v>
      </c>
      <c r="H565" s="206"/>
      <c r="I565" s="224" t="s">
        <v>560</v>
      </c>
      <c r="J565" s="208" t="str">
        <f>J563</f>
        <v>40NB</v>
      </c>
      <c r="K565" s="234">
        <v>1</v>
      </c>
      <c r="L565" s="208" t="s">
        <v>81</v>
      </c>
      <c r="M565" s="217">
        <v>1</v>
      </c>
      <c r="N565" s="208" t="s">
        <v>81</v>
      </c>
      <c r="O565" s="218">
        <v>0.5</v>
      </c>
      <c r="P565" s="208" t="s">
        <v>112</v>
      </c>
      <c r="Q565" s="240">
        <f t="shared" si="121"/>
        <v>0.5</v>
      </c>
      <c r="R565" s="239">
        <v>1</v>
      </c>
      <c r="S565" s="240">
        <f t="shared" si="123"/>
        <v>1.5</v>
      </c>
      <c r="T565" s="216" t="s">
        <v>48</v>
      </c>
      <c r="U565" s="196" t="str">
        <f t="shared" si="122"/>
        <v>1.5 Hrs</v>
      </c>
    </row>
    <row r="566" spans="3:21" s="185" customFormat="1" ht="20.25" customHeight="1">
      <c r="C566" s="198"/>
      <c r="D566" s="203">
        <f t="shared" si="110"/>
        <v>566</v>
      </c>
      <c r="E566" s="207" t="s">
        <v>572</v>
      </c>
      <c r="F566" s="211">
        <f t="shared" si="124"/>
        <v>565</v>
      </c>
      <c r="G566" s="206" t="s">
        <v>115</v>
      </c>
      <c r="H566" s="206"/>
      <c r="I566" s="224">
        <v>10</v>
      </c>
      <c r="J566" s="225" t="s">
        <v>573</v>
      </c>
      <c r="K566" s="234">
        <v>1</v>
      </c>
      <c r="L566" s="208" t="s">
        <v>39</v>
      </c>
      <c r="M566" s="227">
        <f t="shared" ref="M566:M570" si="128">LEFT(J566,SEARCH(" ",J566,1)-1)*K566*3.142/1000</f>
        <v>0.23565</v>
      </c>
      <c r="N566" s="208"/>
      <c r="O566" s="246">
        <f>VLOOKUP(I566,BM!$A$2:$X$104,17,FALSE)</f>
        <v>1.88</v>
      </c>
      <c r="P566" s="208" t="s">
        <v>112</v>
      </c>
      <c r="Q566" s="240">
        <f t="shared" si="121"/>
        <v>0.44302199999999997</v>
      </c>
      <c r="R566" s="239">
        <v>1</v>
      </c>
      <c r="S566" s="240">
        <f t="shared" si="123"/>
        <v>1.44</v>
      </c>
      <c r="T566" s="216" t="s">
        <v>48</v>
      </c>
      <c r="U566" s="196" t="str">
        <f t="shared" si="122"/>
        <v>1.44 Hrs</v>
      </c>
    </row>
    <row r="567" spans="3:21" s="185" customFormat="1" ht="20.25" customHeight="1">
      <c r="C567" s="198"/>
      <c r="D567" s="203">
        <f t="shared" si="110"/>
        <v>567</v>
      </c>
      <c r="E567" s="207" t="s">
        <v>574</v>
      </c>
      <c r="F567" s="211">
        <f t="shared" si="124"/>
        <v>566</v>
      </c>
      <c r="G567" s="206" t="s">
        <v>115</v>
      </c>
      <c r="H567" s="206"/>
      <c r="I567" s="224">
        <v>10</v>
      </c>
      <c r="J567" s="211" t="str">
        <f>J566</f>
        <v>75 MM</v>
      </c>
      <c r="K567" s="234">
        <v>1</v>
      </c>
      <c r="L567" s="208" t="s">
        <v>39</v>
      </c>
      <c r="M567" s="227">
        <f t="shared" si="128"/>
        <v>0.23565</v>
      </c>
      <c r="N567" s="208"/>
      <c r="O567" s="246">
        <f>VLOOKUP(I567,BM!$A$2:$X$104,17,FALSE)</f>
        <v>1.88</v>
      </c>
      <c r="P567" s="208" t="s">
        <v>112</v>
      </c>
      <c r="Q567" s="240">
        <f t="shared" si="121"/>
        <v>0.44302199999999997</v>
      </c>
      <c r="R567" s="239">
        <v>1</v>
      </c>
      <c r="S567" s="240">
        <f t="shared" si="123"/>
        <v>1.44</v>
      </c>
      <c r="T567" s="216" t="s">
        <v>48</v>
      </c>
      <c r="U567" s="196" t="str">
        <f t="shared" si="122"/>
        <v>1.44 Hrs</v>
      </c>
    </row>
    <row r="568" spans="3:21" s="185" customFormat="1" ht="20.25" customHeight="1">
      <c r="C568" s="198"/>
      <c r="D568" s="203">
        <f t="shared" si="110"/>
        <v>568</v>
      </c>
      <c r="E568" s="207" t="s">
        <v>575</v>
      </c>
      <c r="F568" s="211">
        <f t="shared" si="124"/>
        <v>567</v>
      </c>
      <c r="G568" s="206" t="s">
        <v>44</v>
      </c>
      <c r="H568" s="206"/>
      <c r="I568" s="208"/>
      <c r="J568" s="211" t="str">
        <f>J567</f>
        <v>75 MM</v>
      </c>
      <c r="K568" s="234">
        <v>2</v>
      </c>
      <c r="L568" s="208" t="s">
        <v>39</v>
      </c>
      <c r="M568" s="217">
        <v>2</v>
      </c>
      <c r="N568" s="208"/>
      <c r="O568" s="218">
        <v>0.5</v>
      </c>
      <c r="P568" s="208" t="s">
        <v>112</v>
      </c>
      <c r="Q568" s="240">
        <f t="shared" si="121"/>
        <v>1</v>
      </c>
      <c r="R568" s="239">
        <v>1</v>
      </c>
      <c r="S568" s="240">
        <f t="shared" si="123"/>
        <v>2</v>
      </c>
      <c r="T568" s="216" t="s">
        <v>48</v>
      </c>
      <c r="U568" s="196" t="str">
        <f t="shared" si="122"/>
        <v>2 Hrs</v>
      </c>
    </row>
    <row r="569" spans="3:21" s="185" customFormat="1" ht="20.25" customHeight="1">
      <c r="C569" s="198"/>
      <c r="D569" s="203">
        <f t="shared" si="110"/>
        <v>569</v>
      </c>
      <c r="E569" s="207" t="s">
        <v>576</v>
      </c>
      <c r="F569" s="211">
        <f t="shared" si="124"/>
        <v>568</v>
      </c>
      <c r="G569" s="206" t="s">
        <v>115</v>
      </c>
      <c r="H569" s="206"/>
      <c r="I569" s="224">
        <v>10</v>
      </c>
      <c r="J569" s="211" t="str">
        <f>J568</f>
        <v>75 MM</v>
      </c>
      <c r="K569" s="234">
        <v>1</v>
      </c>
      <c r="L569" s="208" t="s">
        <v>39</v>
      </c>
      <c r="M569" s="227">
        <f t="shared" si="128"/>
        <v>0.23565</v>
      </c>
      <c r="N569" s="208"/>
      <c r="O569" s="246">
        <f>VLOOKUP(I569,BM!$A$2:$X$104,17,FALSE)</f>
        <v>1.88</v>
      </c>
      <c r="P569" s="208" t="s">
        <v>112</v>
      </c>
      <c r="Q569" s="240">
        <f t="shared" si="121"/>
        <v>0.44302199999999997</v>
      </c>
      <c r="R569" s="239">
        <v>1</v>
      </c>
      <c r="S569" s="240">
        <f t="shared" si="123"/>
        <v>1.44</v>
      </c>
      <c r="T569" s="216" t="s">
        <v>48</v>
      </c>
      <c r="U569" s="196" t="str">
        <f t="shared" si="122"/>
        <v>1.44 Hrs</v>
      </c>
    </row>
    <row r="570" spans="3:21" s="185" customFormat="1" ht="20.25" customHeight="1">
      <c r="C570" s="198"/>
      <c r="D570" s="203">
        <f t="shared" si="110"/>
        <v>570</v>
      </c>
      <c r="E570" s="207" t="s">
        <v>577</v>
      </c>
      <c r="F570" s="211">
        <f t="shared" si="124"/>
        <v>569</v>
      </c>
      <c r="G570" s="206" t="s">
        <v>115</v>
      </c>
      <c r="H570" s="206"/>
      <c r="I570" s="224">
        <v>10</v>
      </c>
      <c r="J570" s="211" t="str">
        <f>J569</f>
        <v>75 MM</v>
      </c>
      <c r="K570" s="234">
        <v>1</v>
      </c>
      <c r="L570" s="208" t="s">
        <v>39</v>
      </c>
      <c r="M570" s="227">
        <f t="shared" si="128"/>
        <v>0.23565</v>
      </c>
      <c r="N570" s="208"/>
      <c r="O570" s="246">
        <f>VLOOKUP(I570,BM!$A$2:$X$104,17,FALSE)</f>
        <v>1.88</v>
      </c>
      <c r="P570" s="208" t="s">
        <v>112</v>
      </c>
      <c r="Q570" s="240">
        <f t="shared" si="121"/>
        <v>0.44302199999999997</v>
      </c>
      <c r="R570" s="239">
        <v>1</v>
      </c>
      <c r="S570" s="240">
        <f t="shared" si="123"/>
        <v>1.44</v>
      </c>
      <c r="T570" s="216" t="s">
        <v>48</v>
      </c>
      <c r="U570" s="196" t="str">
        <f t="shared" si="122"/>
        <v>1.44 Hrs</v>
      </c>
    </row>
    <row r="571" spans="3:21" s="185" customFormat="1" ht="20.25" customHeight="1">
      <c r="C571" s="198">
        <f>D571</f>
        <v>571</v>
      </c>
      <c r="D571" s="203">
        <f t="shared" si="110"/>
        <v>571</v>
      </c>
      <c r="E571" s="209" t="s">
        <v>578</v>
      </c>
      <c r="F571" s="210">
        <f>D564</f>
        <v>564</v>
      </c>
      <c r="G571" s="206"/>
      <c r="H571" s="206"/>
      <c r="I571" s="208"/>
      <c r="J571" s="208"/>
      <c r="K571" s="234"/>
      <c r="L571" s="208"/>
      <c r="M571" s="217"/>
      <c r="N571" s="208"/>
      <c r="O571" s="218"/>
      <c r="P571" s="208"/>
      <c r="Q571" s="240"/>
      <c r="R571" s="239"/>
      <c r="S571" s="240"/>
      <c r="T571" s="216"/>
      <c r="U571" s="196"/>
    </row>
    <row r="572" spans="3:21" s="185" customFormat="1" ht="20.25" customHeight="1">
      <c r="C572" s="198"/>
      <c r="D572" s="203">
        <f t="shared" si="110"/>
        <v>572</v>
      </c>
      <c r="E572" s="207" t="s">
        <v>579</v>
      </c>
      <c r="F572" s="211"/>
      <c r="G572" s="206" t="s">
        <v>149</v>
      </c>
      <c r="H572" s="206"/>
      <c r="I572" s="224">
        <v>20</v>
      </c>
      <c r="J572" s="225" t="str">
        <f>J563</f>
        <v>40NB</v>
      </c>
      <c r="K572" s="234">
        <v>1</v>
      </c>
      <c r="L572" s="208" t="s">
        <v>39</v>
      </c>
      <c r="M572" s="217">
        <v>1</v>
      </c>
      <c r="N572" s="208" t="s">
        <v>564</v>
      </c>
      <c r="O572" s="246">
        <f>VLOOKUP(I572,BM!$A$2:$X$104,23,FALSE)</f>
        <v>8</v>
      </c>
      <c r="P572" s="208" t="s">
        <v>112</v>
      </c>
      <c r="Q572" s="240">
        <f t="shared" si="121"/>
        <v>8</v>
      </c>
      <c r="R572" s="239">
        <v>1</v>
      </c>
      <c r="S572" s="240">
        <f t="shared" si="123"/>
        <v>9</v>
      </c>
      <c r="T572" s="216" t="s">
        <v>48</v>
      </c>
      <c r="U572" s="196" t="str">
        <f t="shared" si="122"/>
        <v>9 Hrs</v>
      </c>
    </row>
    <row r="573" spans="3:21" s="185" customFormat="1" ht="20.25" customHeight="1">
      <c r="C573" s="198"/>
      <c r="D573" s="203">
        <f t="shared" si="110"/>
        <v>573</v>
      </c>
      <c r="E573" s="207" t="s">
        <v>580</v>
      </c>
      <c r="F573" s="211">
        <f t="shared" si="124"/>
        <v>572</v>
      </c>
      <c r="G573" s="206" t="s">
        <v>63</v>
      </c>
      <c r="H573" s="206"/>
      <c r="I573" s="224" t="s">
        <v>581</v>
      </c>
      <c r="J573" s="211" t="str">
        <f>J563</f>
        <v>40NB</v>
      </c>
      <c r="K573" s="234">
        <v>1</v>
      </c>
      <c r="L573" s="208" t="s">
        <v>485</v>
      </c>
      <c r="M573" s="217">
        <v>1</v>
      </c>
      <c r="N573" s="208" t="s">
        <v>39</v>
      </c>
      <c r="O573" s="218">
        <v>1</v>
      </c>
      <c r="P573" s="208" t="s">
        <v>41</v>
      </c>
      <c r="Q573" s="240">
        <f t="shared" si="121"/>
        <v>1</v>
      </c>
      <c r="R573" s="239"/>
      <c r="S573" s="240">
        <f t="shared" si="123"/>
        <v>1</v>
      </c>
      <c r="T573" s="216" t="s">
        <v>48</v>
      </c>
      <c r="U573" s="196" t="str">
        <f t="shared" si="122"/>
        <v>1 Hrs</v>
      </c>
    </row>
    <row r="574" spans="3:21" s="185" customFormat="1" ht="20.25" customHeight="1">
      <c r="C574" s="198">
        <f t="shared" ref="C574:C575" si="129">D574</f>
        <v>574</v>
      </c>
      <c r="D574" s="203">
        <f t="shared" si="110"/>
        <v>574</v>
      </c>
      <c r="E574" s="247" t="s">
        <v>582</v>
      </c>
      <c r="F574" s="210"/>
      <c r="G574" s="206"/>
      <c r="H574" s="206"/>
      <c r="I574" s="208"/>
      <c r="J574" s="208"/>
      <c r="K574" s="234"/>
      <c r="L574" s="208"/>
      <c r="M574" s="217"/>
      <c r="N574" s="208"/>
      <c r="O574" s="218"/>
      <c r="P574" s="208"/>
      <c r="Q574" s="240"/>
      <c r="R574" s="239"/>
      <c r="S574" s="240"/>
      <c r="T574" s="216"/>
      <c r="U574" s="196"/>
    </row>
    <row r="575" spans="3:21" s="185" customFormat="1" ht="20.25" customHeight="1">
      <c r="C575" s="198">
        <f t="shared" si="129"/>
        <v>575</v>
      </c>
      <c r="D575" s="203">
        <f t="shared" si="110"/>
        <v>575</v>
      </c>
      <c r="E575" s="209" t="s">
        <v>583</v>
      </c>
      <c r="F575" s="210">
        <f>D13</f>
        <v>13</v>
      </c>
      <c r="G575" s="206"/>
      <c r="H575" s="206"/>
      <c r="I575" s="208"/>
      <c r="J575" s="208"/>
      <c r="K575" s="234"/>
      <c r="L575" s="208"/>
      <c r="M575" s="217"/>
      <c r="N575" s="208"/>
      <c r="O575" s="218"/>
      <c r="P575" s="208"/>
      <c r="Q575" s="240"/>
      <c r="R575" s="239"/>
      <c r="S575" s="240"/>
      <c r="T575" s="216"/>
      <c r="U575" s="196"/>
    </row>
    <row r="576" spans="3:21" s="185" customFormat="1" ht="20.25" customHeight="1">
      <c r="C576" s="198"/>
      <c r="D576" s="203">
        <f t="shared" si="110"/>
        <v>576</v>
      </c>
      <c r="E576" s="207" t="s">
        <v>584</v>
      </c>
      <c r="F576" s="211"/>
      <c r="G576" s="206" t="s">
        <v>37</v>
      </c>
      <c r="H576" s="206"/>
      <c r="I576" s="208"/>
      <c r="J576" s="208"/>
      <c r="K576" s="234">
        <v>1</v>
      </c>
      <c r="L576" s="208" t="s">
        <v>39</v>
      </c>
      <c r="M576" s="217">
        <v>1</v>
      </c>
      <c r="N576" s="208"/>
      <c r="O576" s="218">
        <v>4</v>
      </c>
      <c r="P576" s="208" t="s">
        <v>41</v>
      </c>
      <c r="Q576" s="240">
        <f t="shared" si="121"/>
        <v>4</v>
      </c>
      <c r="R576" s="239"/>
      <c r="S576" s="240">
        <f t="shared" si="123"/>
        <v>4</v>
      </c>
      <c r="T576" s="216" t="s">
        <v>42</v>
      </c>
      <c r="U576" s="196" t="str">
        <f t="shared" si="122"/>
        <v>4 Days</v>
      </c>
    </row>
    <row r="577" spans="3:21" s="185" customFormat="1" ht="20.25" customHeight="1">
      <c r="C577" s="198"/>
      <c r="D577" s="203">
        <f t="shared" si="110"/>
        <v>577</v>
      </c>
      <c r="E577" s="207" t="s">
        <v>585</v>
      </c>
      <c r="F577" s="211">
        <f t="shared" si="124"/>
        <v>576</v>
      </c>
      <c r="G577" s="206" t="s">
        <v>44</v>
      </c>
      <c r="H577" s="206"/>
      <c r="I577" s="224">
        <v>50</v>
      </c>
      <c r="J577" s="234" t="s">
        <v>586</v>
      </c>
      <c r="K577" s="234">
        <v>1</v>
      </c>
      <c r="L577" s="208" t="s">
        <v>81</v>
      </c>
      <c r="M577" s="227">
        <f>LEFT(J577,SEARCH(" ",J577,1)-1)*1.28*3.142/1000</f>
        <v>6.2337280000000002</v>
      </c>
      <c r="N577" s="208" t="s">
        <v>139</v>
      </c>
      <c r="O577" s="246">
        <f>VLOOKUP(I577,BM!$A$2:$X$104,2,FALSE)</f>
        <v>0.1</v>
      </c>
      <c r="P577" s="208" t="s">
        <v>112</v>
      </c>
      <c r="Q577" s="240">
        <f t="shared" si="121"/>
        <v>0.62337280000000006</v>
      </c>
      <c r="R577" s="239">
        <v>1</v>
      </c>
      <c r="S577" s="240">
        <f t="shared" si="123"/>
        <v>1.62</v>
      </c>
      <c r="T577" s="216" t="s">
        <v>48</v>
      </c>
      <c r="U577" s="196" t="str">
        <f t="shared" si="122"/>
        <v>1.62 Hrs</v>
      </c>
    </row>
    <row r="578" spans="3:21" s="185" customFormat="1" ht="20.25" customHeight="1">
      <c r="C578" s="198"/>
      <c r="D578" s="203">
        <f t="shared" si="110"/>
        <v>578</v>
      </c>
      <c r="E578" s="207" t="s">
        <v>587</v>
      </c>
      <c r="F578" s="211">
        <f t="shared" si="124"/>
        <v>577</v>
      </c>
      <c r="G578" s="206" t="s">
        <v>44</v>
      </c>
      <c r="H578" s="206"/>
      <c r="I578" s="233">
        <v>50</v>
      </c>
      <c r="J578" s="234" t="s">
        <v>586</v>
      </c>
      <c r="K578" s="234">
        <v>1</v>
      </c>
      <c r="L578" s="208" t="s">
        <v>81</v>
      </c>
      <c r="M578" s="235">
        <v>1</v>
      </c>
      <c r="N578" s="208" t="s">
        <v>81</v>
      </c>
      <c r="O578" s="246">
        <v>1</v>
      </c>
      <c r="P578" s="208" t="s">
        <v>162</v>
      </c>
      <c r="Q578" s="240">
        <f t="shared" si="121"/>
        <v>1</v>
      </c>
      <c r="R578" s="239">
        <v>1</v>
      </c>
      <c r="S578" s="240">
        <f t="shared" si="123"/>
        <v>2</v>
      </c>
      <c r="T578" s="216" t="s">
        <v>48</v>
      </c>
      <c r="U578" s="196" t="str">
        <f t="shared" si="122"/>
        <v>2 Hrs</v>
      </c>
    </row>
    <row r="579" spans="3:21" s="185" customFormat="1" ht="20.25" customHeight="1">
      <c r="C579" s="198"/>
      <c r="D579" s="203">
        <f t="shared" ref="D579:D642" si="130">D578+1</f>
        <v>579</v>
      </c>
      <c r="E579" s="207" t="s">
        <v>588</v>
      </c>
      <c r="F579" s="211">
        <f t="shared" si="124"/>
        <v>578</v>
      </c>
      <c r="G579" s="206" t="s">
        <v>52</v>
      </c>
      <c r="H579" s="206"/>
      <c r="I579" s="233">
        <v>50</v>
      </c>
      <c r="J579" s="234" t="s">
        <v>586</v>
      </c>
      <c r="K579" s="234">
        <v>1</v>
      </c>
      <c r="L579" s="208" t="s">
        <v>81</v>
      </c>
      <c r="M579" s="227">
        <f>LEFT(J579,SEARCH(" ",J579,1)-1)*1.28*3.142/1000</f>
        <v>6.2337280000000002</v>
      </c>
      <c r="N579" s="208" t="s">
        <v>139</v>
      </c>
      <c r="O579" s="246">
        <f>VLOOKUP(I579,BM!$A$2:$X$104,3,FALSE)</f>
        <v>0.25</v>
      </c>
      <c r="P579" s="208" t="s">
        <v>112</v>
      </c>
      <c r="Q579" s="240">
        <f t="shared" si="121"/>
        <v>1.558432</v>
      </c>
      <c r="R579" s="239">
        <v>1</v>
      </c>
      <c r="S579" s="240">
        <f t="shared" si="123"/>
        <v>2.56</v>
      </c>
      <c r="T579" s="216" t="s">
        <v>48</v>
      </c>
      <c r="U579" s="196" t="str">
        <f t="shared" si="122"/>
        <v>2.56 Hrs</v>
      </c>
    </row>
    <row r="580" spans="3:21" s="185" customFormat="1" ht="20.25" customHeight="1">
      <c r="C580" s="198"/>
      <c r="D580" s="203">
        <f t="shared" si="130"/>
        <v>580</v>
      </c>
      <c r="E580" s="207" t="s">
        <v>589</v>
      </c>
      <c r="F580" s="211">
        <f t="shared" si="124"/>
        <v>579</v>
      </c>
      <c r="G580" s="206" t="s">
        <v>61</v>
      </c>
      <c r="H580" s="206"/>
      <c r="I580" s="233">
        <f>I577</f>
        <v>50</v>
      </c>
      <c r="J580" s="234" t="s">
        <v>586</v>
      </c>
      <c r="K580" s="234">
        <v>1</v>
      </c>
      <c r="L580" s="208" t="s">
        <v>81</v>
      </c>
      <c r="M580" s="227">
        <f>LEFT(J580,SEARCH(" ",J580,1)-1)*1.28*3.142/1000</f>
        <v>6.2337280000000002</v>
      </c>
      <c r="N580" s="208" t="s">
        <v>139</v>
      </c>
      <c r="O580" s="246">
        <f>VLOOKUP(I580,BM!$A$2:$X$104,6,FALSE)</f>
        <v>1</v>
      </c>
      <c r="P580" s="208" t="s">
        <v>112</v>
      </c>
      <c r="Q580" s="240">
        <f t="shared" si="121"/>
        <v>6.2337280000000002</v>
      </c>
      <c r="R580" s="239">
        <v>1</v>
      </c>
      <c r="S580" s="240">
        <f t="shared" si="123"/>
        <v>7.23</v>
      </c>
      <c r="T580" s="216" t="s">
        <v>48</v>
      </c>
      <c r="U580" s="196" t="str">
        <f t="shared" si="122"/>
        <v>7.23 Hrs</v>
      </c>
    </row>
    <row r="581" spans="3:21" s="185" customFormat="1" ht="20.25" customHeight="1">
      <c r="C581" s="198">
        <f>D581</f>
        <v>581</v>
      </c>
      <c r="D581" s="203">
        <f t="shared" si="130"/>
        <v>581</v>
      </c>
      <c r="E581" s="209" t="s">
        <v>590</v>
      </c>
      <c r="F581" s="210">
        <f>D575</f>
        <v>575</v>
      </c>
      <c r="G581" s="206"/>
      <c r="H581" s="206"/>
      <c r="I581" s="208"/>
      <c r="J581" s="208"/>
      <c r="K581" s="234"/>
      <c r="L581" s="208"/>
      <c r="M581" s="217"/>
      <c r="N581" s="208"/>
      <c r="O581" s="218"/>
      <c r="P581" s="208"/>
      <c r="Q581" s="240"/>
      <c r="R581" s="239"/>
      <c r="S581" s="240"/>
      <c r="T581" s="216"/>
      <c r="U581" s="196"/>
    </row>
    <row r="582" spans="3:21" s="185" customFormat="1" ht="20.25" customHeight="1">
      <c r="C582" s="198"/>
      <c r="D582" s="203">
        <f t="shared" si="130"/>
        <v>582</v>
      </c>
      <c r="E582" s="207" t="s">
        <v>591</v>
      </c>
      <c r="F582" s="211"/>
      <c r="G582" s="206" t="s">
        <v>55</v>
      </c>
      <c r="H582" s="206"/>
      <c r="I582" s="233">
        <f>I580</f>
        <v>50</v>
      </c>
      <c r="J582" s="234" t="str">
        <f>J579</f>
        <v>1550 mm id</v>
      </c>
      <c r="K582" s="234">
        <v>1</v>
      </c>
      <c r="L582" s="208" t="s">
        <v>81</v>
      </c>
      <c r="M582" s="217">
        <v>1</v>
      </c>
      <c r="N582" s="208" t="s">
        <v>39</v>
      </c>
      <c r="O582" s="218">
        <v>10</v>
      </c>
      <c r="P582" s="208" t="s">
        <v>41</v>
      </c>
      <c r="Q582" s="240">
        <f t="shared" si="121"/>
        <v>10</v>
      </c>
      <c r="R582" s="239"/>
      <c r="S582" s="240">
        <f t="shared" si="123"/>
        <v>10</v>
      </c>
      <c r="T582" s="216" t="s">
        <v>42</v>
      </c>
      <c r="U582" s="196" t="str">
        <f t="shared" si="122"/>
        <v>10 Days</v>
      </c>
    </row>
    <row r="583" spans="3:21" s="185" customFormat="1" ht="20.25" customHeight="1">
      <c r="C583" s="198"/>
      <c r="D583" s="203">
        <f t="shared" si="130"/>
        <v>583</v>
      </c>
      <c r="E583" s="207" t="s">
        <v>592</v>
      </c>
      <c r="F583" s="211">
        <f t="shared" si="124"/>
        <v>582</v>
      </c>
      <c r="G583" s="206" t="s">
        <v>44</v>
      </c>
      <c r="H583" s="206"/>
      <c r="I583" s="233">
        <f>I580</f>
        <v>50</v>
      </c>
      <c r="J583" s="234" t="str">
        <f>J580</f>
        <v>1550 mm id</v>
      </c>
      <c r="K583" s="234">
        <v>1</v>
      </c>
      <c r="L583" s="208" t="s">
        <v>81</v>
      </c>
      <c r="M583" s="217">
        <v>1</v>
      </c>
      <c r="N583" s="208" t="s">
        <v>39</v>
      </c>
      <c r="O583" s="218">
        <v>1</v>
      </c>
      <c r="P583" s="208" t="s">
        <v>41</v>
      </c>
      <c r="Q583" s="240">
        <f t="shared" si="121"/>
        <v>1</v>
      </c>
      <c r="R583" s="239"/>
      <c r="S583" s="240">
        <f t="shared" si="123"/>
        <v>1</v>
      </c>
      <c r="T583" s="216" t="s">
        <v>42</v>
      </c>
      <c r="U583" s="196" t="str">
        <f t="shared" si="122"/>
        <v>1 Days</v>
      </c>
    </row>
    <row r="584" spans="3:21" s="185" customFormat="1" ht="20.25" customHeight="1">
      <c r="C584" s="198">
        <f>D584</f>
        <v>584</v>
      </c>
      <c r="D584" s="203">
        <f t="shared" si="130"/>
        <v>584</v>
      </c>
      <c r="E584" s="209" t="s">
        <v>593</v>
      </c>
      <c r="F584" s="210">
        <f>D581</f>
        <v>581</v>
      </c>
      <c r="G584" s="206"/>
      <c r="H584" s="206"/>
      <c r="I584" s="208"/>
      <c r="J584" s="208"/>
      <c r="K584" s="234"/>
      <c r="L584" s="208"/>
      <c r="M584" s="217"/>
      <c r="N584" s="208"/>
      <c r="O584" s="218"/>
      <c r="P584" s="208"/>
      <c r="Q584" s="240"/>
      <c r="R584" s="239"/>
      <c r="S584" s="240"/>
      <c r="T584" s="216"/>
      <c r="U584" s="196"/>
    </row>
    <row r="585" spans="3:21" s="185" customFormat="1" ht="20.25" customHeight="1">
      <c r="C585" s="198"/>
      <c r="D585" s="203">
        <f t="shared" si="130"/>
        <v>585</v>
      </c>
      <c r="E585" s="207" t="s">
        <v>594</v>
      </c>
      <c r="F585" s="211"/>
      <c r="G585" s="206" t="s">
        <v>44</v>
      </c>
      <c r="H585" s="206"/>
      <c r="I585" s="233">
        <f>I583</f>
        <v>50</v>
      </c>
      <c r="J585" s="234" t="str">
        <f>J583</f>
        <v>1550 mm id</v>
      </c>
      <c r="K585" s="234">
        <v>1</v>
      </c>
      <c r="L585" s="208" t="s">
        <v>81</v>
      </c>
      <c r="M585" s="217">
        <v>1</v>
      </c>
      <c r="N585" s="208" t="s">
        <v>39</v>
      </c>
      <c r="O585" s="218">
        <v>4</v>
      </c>
      <c r="P585" s="208" t="s">
        <v>595</v>
      </c>
      <c r="Q585" s="240">
        <f t="shared" si="121"/>
        <v>4</v>
      </c>
      <c r="R585" s="239"/>
      <c r="S585" s="240">
        <f t="shared" si="123"/>
        <v>4</v>
      </c>
      <c r="T585" s="216" t="s">
        <v>48</v>
      </c>
      <c r="U585" s="196" t="str">
        <f t="shared" si="122"/>
        <v>4 Hrs</v>
      </c>
    </row>
    <row r="586" spans="3:21" s="185" customFormat="1" ht="20.25" customHeight="1">
      <c r="C586" s="198"/>
      <c r="D586" s="203">
        <f t="shared" si="130"/>
        <v>586</v>
      </c>
      <c r="E586" s="207" t="s">
        <v>593</v>
      </c>
      <c r="F586" s="211">
        <f t="shared" si="124"/>
        <v>585</v>
      </c>
      <c r="G586" s="206" t="s">
        <v>52</v>
      </c>
      <c r="H586" s="206"/>
      <c r="I586" s="233">
        <f>I583</f>
        <v>50</v>
      </c>
      <c r="J586" s="234" t="str">
        <f>J583</f>
        <v>1550 mm id</v>
      </c>
      <c r="K586" s="234">
        <v>1</v>
      </c>
      <c r="L586" s="208" t="s">
        <v>81</v>
      </c>
      <c r="M586" s="227">
        <f>LEFT(J586,SEARCH(" ",J586,1)-1)*1.28*3.142/1000</f>
        <v>6.2337280000000002</v>
      </c>
      <c r="N586" s="208" t="s">
        <v>249</v>
      </c>
      <c r="O586" s="246">
        <f>VLOOKUP(I586,BM!$A$2:$X$104,2,FALSE)</f>
        <v>0.1</v>
      </c>
      <c r="P586" s="208" t="s">
        <v>112</v>
      </c>
      <c r="Q586" s="240">
        <f t="shared" si="121"/>
        <v>0.62337280000000006</v>
      </c>
      <c r="R586" s="239">
        <v>2</v>
      </c>
      <c r="S586" s="240">
        <f t="shared" si="123"/>
        <v>2.62</v>
      </c>
      <c r="T586" s="216" t="s">
        <v>48</v>
      </c>
      <c r="U586" s="196" t="str">
        <f t="shared" si="122"/>
        <v>2.62 Hrs</v>
      </c>
    </row>
    <row r="587" spans="3:21" s="185" customFormat="1" ht="20.25" customHeight="1">
      <c r="C587" s="198">
        <f>D587</f>
        <v>587</v>
      </c>
      <c r="D587" s="203">
        <f t="shared" si="130"/>
        <v>587</v>
      </c>
      <c r="E587" s="209" t="s">
        <v>596</v>
      </c>
      <c r="F587" s="210">
        <f>D584</f>
        <v>584</v>
      </c>
      <c r="G587" s="206"/>
      <c r="H587" s="206"/>
      <c r="I587" s="208"/>
      <c r="J587" s="208"/>
      <c r="K587" s="234"/>
      <c r="L587" s="208"/>
      <c r="M587" s="217"/>
      <c r="N587" s="208"/>
      <c r="O587" s="218"/>
      <c r="P587" s="208"/>
      <c r="Q587" s="240"/>
      <c r="R587" s="239"/>
      <c r="S587" s="240"/>
      <c r="T587" s="216"/>
      <c r="U587" s="196"/>
    </row>
    <row r="588" spans="3:21" s="185" customFormat="1" ht="20.25" customHeight="1">
      <c r="C588" s="198"/>
      <c r="D588" s="203">
        <f t="shared" si="130"/>
        <v>588</v>
      </c>
      <c r="E588" s="207" t="s">
        <v>597</v>
      </c>
      <c r="F588" s="211"/>
      <c r="G588" s="206" t="s">
        <v>121</v>
      </c>
      <c r="H588" s="206"/>
      <c r="I588" s="233">
        <v>25</v>
      </c>
      <c r="J588" s="234" t="str">
        <f>J586</f>
        <v>1550 mm id</v>
      </c>
      <c r="K588" s="234">
        <v>1</v>
      </c>
      <c r="L588" s="208" t="s">
        <v>81</v>
      </c>
      <c r="M588" s="227">
        <f>LEFT(J588,SEARCH(" ",J588,1)-1)*1.28*3.142/1000</f>
        <v>6.2337280000000002</v>
      </c>
      <c r="N588" s="208" t="s">
        <v>249</v>
      </c>
      <c r="O588" s="246">
        <f>VLOOKUP(I588,BM!$A$2:$X$104,6,FALSE)</f>
        <v>1</v>
      </c>
      <c r="P588" s="208" t="s">
        <v>112</v>
      </c>
      <c r="Q588" s="240">
        <f t="shared" si="121"/>
        <v>6.2337280000000002</v>
      </c>
      <c r="R588" s="239">
        <v>2</v>
      </c>
      <c r="S588" s="240">
        <f t="shared" si="123"/>
        <v>8.23</v>
      </c>
      <c r="T588" s="216" t="s">
        <v>48</v>
      </c>
      <c r="U588" s="196" t="str">
        <f t="shared" si="122"/>
        <v>8.23 Hrs</v>
      </c>
    </row>
    <row r="589" spans="3:21" s="185" customFormat="1" ht="20.25" customHeight="1">
      <c r="C589" s="198">
        <f>D589</f>
        <v>589</v>
      </c>
      <c r="D589" s="203">
        <f t="shared" si="130"/>
        <v>589</v>
      </c>
      <c r="E589" s="209" t="s">
        <v>598</v>
      </c>
      <c r="F589" s="210" t="str">
        <f>CONCATENATE(D587,",",D12)</f>
        <v>587,12</v>
      </c>
      <c r="G589" s="206"/>
      <c r="H589" s="206"/>
      <c r="I589" s="208"/>
      <c r="J589" s="208"/>
      <c r="K589" s="234"/>
      <c r="L589" s="208"/>
      <c r="M589" s="217"/>
      <c r="N589" s="208"/>
      <c r="O589" s="218"/>
      <c r="P589" s="208"/>
      <c r="Q589" s="240"/>
      <c r="R589" s="239"/>
      <c r="S589" s="240"/>
      <c r="T589" s="216"/>
      <c r="U589" s="196"/>
    </row>
    <row r="590" spans="3:21" s="185" customFormat="1" ht="20.25" customHeight="1">
      <c r="C590" s="198"/>
      <c r="D590" s="203">
        <f t="shared" si="130"/>
        <v>590</v>
      </c>
      <c r="E590" s="207" t="s">
        <v>598</v>
      </c>
      <c r="F590" s="211"/>
      <c r="G590" s="206" t="s">
        <v>111</v>
      </c>
      <c r="H590" s="206"/>
      <c r="I590" s="233">
        <f>I588</f>
        <v>25</v>
      </c>
      <c r="J590" s="234" t="str">
        <f>J588</f>
        <v>1550 mm id</v>
      </c>
      <c r="K590" s="234">
        <v>1</v>
      </c>
      <c r="L590" s="208" t="s">
        <v>81</v>
      </c>
      <c r="M590" s="227">
        <f>LEFT(J590,SEARCH(" ",J590,1)-1)*1.28*3.142/1000</f>
        <v>6.2337280000000002</v>
      </c>
      <c r="N590" s="208" t="s">
        <v>249</v>
      </c>
      <c r="O590" s="246">
        <f>VLOOKUP(I590,BM!$A$2:$X$104,15,FALSE)</f>
        <v>1</v>
      </c>
      <c r="P590" s="208" t="s">
        <v>112</v>
      </c>
      <c r="Q590" s="240">
        <f t="shared" si="121"/>
        <v>6.2337280000000002</v>
      </c>
      <c r="R590" s="239">
        <v>2</v>
      </c>
      <c r="S590" s="240">
        <f t="shared" si="123"/>
        <v>8.23</v>
      </c>
      <c r="T590" s="216" t="s">
        <v>48</v>
      </c>
      <c r="U590" s="196" t="str">
        <f t="shared" si="122"/>
        <v>8.23 Hrs</v>
      </c>
    </row>
    <row r="591" spans="3:21" s="185" customFormat="1" ht="20.25" customHeight="1">
      <c r="C591" s="198">
        <f>D591</f>
        <v>591</v>
      </c>
      <c r="D591" s="203">
        <f t="shared" si="130"/>
        <v>591</v>
      </c>
      <c r="E591" s="209" t="s">
        <v>599</v>
      </c>
      <c r="F591" s="210">
        <f>D589</f>
        <v>589</v>
      </c>
      <c r="G591" s="206"/>
      <c r="H591" s="206"/>
      <c r="I591" s="208"/>
      <c r="J591" s="208"/>
      <c r="K591" s="234"/>
      <c r="L591" s="208"/>
      <c r="M591" s="217"/>
      <c r="N591" s="208"/>
      <c r="O591" s="218"/>
      <c r="P591" s="208"/>
      <c r="Q591" s="240"/>
      <c r="R591" s="239"/>
      <c r="S591" s="240"/>
      <c r="T591" s="216"/>
      <c r="U591" s="196"/>
    </row>
    <row r="592" spans="3:21" s="185" customFormat="1" ht="20.25" customHeight="1">
      <c r="C592" s="198"/>
      <c r="D592" s="203">
        <f t="shared" si="130"/>
        <v>592</v>
      </c>
      <c r="E592" s="207" t="s">
        <v>599</v>
      </c>
      <c r="F592" s="211"/>
      <c r="G592" s="206" t="s">
        <v>115</v>
      </c>
      <c r="H592" s="206"/>
      <c r="I592" s="224">
        <v>30</v>
      </c>
      <c r="J592" s="234" t="str">
        <f>J590</f>
        <v>1550 mm id</v>
      </c>
      <c r="K592" s="234">
        <v>1</v>
      </c>
      <c r="L592" s="208" t="s">
        <v>81</v>
      </c>
      <c r="M592" s="227">
        <f>LEFT(J592,SEARCH(" ",J592,1)-1)*1.28*3.142/1000</f>
        <v>6.2337280000000002</v>
      </c>
      <c r="N592" s="208" t="s">
        <v>249</v>
      </c>
      <c r="O592" s="246">
        <f>VLOOKUP(I592,BM!$A$2:$X$104,23,FALSE)</f>
        <v>16.8</v>
      </c>
      <c r="P592" s="208" t="s">
        <v>112</v>
      </c>
      <c r="Q592" s="240">
        <f t="shared" si="121"/>
        <v>104.7266304</v>
      </c>
      <c r="R592" s="239">
        <v>2</v>
      </c>
      <c r="S592" s="240">
        <f t="shared" si="123"/>
        <v>106.73</v>
      </c>
      <c r="T592" s="216" t="s">
        <v>48</v>
      </c>
      <c r="U592" s="196" t="str">
        <f t="shared" si="122"/>
        <v>106.73 Hrs</v>
      </c>
    </row>
    <row r="593" spans="3:21" s="185" customFormat="1" ht="20.25" customHeight="1">
      <c r="C593" s="198"/>
      <c r="D593" s="203">
        <f t="shared" si="130"/>
        <v>593</v>
      </c>
      <c r="E593" s="207" t="s">
        <v>600</v>
      </c>
      <c r="F593" s="211">
        <f>D592</f>
        <v>592</v>
      </c>
      <c r="G593" s="206" t="s">
        <v>299</v>
      </c>
      <c r="H593" s="206"/>
      <c r="I593" s="224">
        <v>16</v>
      </c>
      <c r="J593" s="208" t="str">
        <f>J592</f>
        <v>1550 mm id</v>
      </c>
      <c r="K593" s="234">
        <v>1</v>
      </c>
      <c r="L593" s="208" t="s">
        <v>81</v>
      </c>
      <c r="M593" s="217">
        <v>1</v>
      </c>
      <c r="N593" s="208" t="s">
        <v>39</v>
      </c>
      <c r="O593" s="218">
        <v>4</v>
      </c>
      <c r="P593" s="208" t="s">
        <v>112</v>
      </c>
      <c r="Q593" s="240">
        <f t="shared" si="121"/>
        <v>4</v>
      </c>
      <c r="R593" s="239">
        <v>1</v>
      </c>
      <c r="S593" s="240">
        <f t="shared" si="123"/>
        <v>5</v>
      </c>
      <c r="T593" s="216" t="s">
        <v>48</v>
      </c>
      <c r="U593" s="196" t="str">
        <f t="shared" si="122"/>
        <v>5 Hrs</v>
      </c>
    </row>
    <row r="594" spans="3:21" s="185" customFormat="1" ht="20.25" customHeight="1">
      <c r="C594" s="198"/>
      <c r="D594" s="203">
        <f t="shared" si="130"/>
        <v>594</v>
      </c>
      <c r="E594" s="207" t="s">
        <v>601</v>
      </c>
      <c r="F594" s="211">
        <f t="shared" si="124"/>
        <v>593</v>
      </c>
      <c r="G594" s="206" t="s">
        <v>115</v>
      </c>
      <c r="H594" s="206"/>
      <c r="I594" s="224">
        <v>16</v>
      </c>
      <c r="J594" s="234" t="s">
        <v>602</v>
      </c>
      <c r="K594" s="234">
        <v>1</v>
      </c>
      <c r="L594" s="208" t="s">
        <v>81</v>
      </c>
      <c r="M594" s="227">
        <f>LEFT(J594,SEARCH(" ",J594,1)-1)/1000</f>
        <v>3</v>
      </c>
      <c r="N594" s="208" t="s">
        <v>249</v>
      </c>
      <c r="O594" s="246">
        <f>VLOOKUP(I594,BM!$A$2:$X$104,22,FALSE)</f>
        <v>2.8</v>
      </c>
      <c r="P594" s="208" t="s">
        <v>112</v>
      </c>
      <c r="Q594" s="240">
        <f t="shared" si="121"/>
        <v>8.3999999999999986</v>
      </c>
      <c r="R594" s="239">
        <v>2</v>
      </c>
      <c r="S594" s="240">
        <f t="shared" si="123"/>
        <v>10.4</v>
      </c>
      <c r="T594" s="216" t="s">
        <v>48</v>
      </c>
      <c r="U594" s="196" t="str">
        <f t="shared" si="122"/>
        <v>10.4 Hrs</v>
      </c>
    </row>
    <row r="595" spans="3:21" s="185" customFormat="1" ht="20.25" customHeight="1">
      <c r="C595" s="198"/>
      <c r="D595" s="203">
        <f t="shared" si="130"/>
        <v>595</v>
      </c>
      <c r="E595" s="207" t="s">
        <v>603</v>
      </c>
      <c r="F595" s="211">
        <f t="shared" si="124"/>
        <v>594</v>
      </c>
      <c r="G595" s="206" t="s">
        <v>44</v>
      </c>
      <c r="H595" s="206"/>
      <c r="I595" s="224">
        <v>16</v>
      </c>
      <c r="J595" s="208" t="str">
        <f>J594</f>
        <v>3000 mm</v>
      </c>
      <c r="K595" s="234">
        <v>1</v>
      </c>
      <c r="L595" s="208" t="s">
        <v>81</v>
      </c>
      <c r="M595" s="217">
        <v>1</v>
      </c>
      <c r="N595" s="208" t="s">
        <v>39</v>
      </c>
      <c r="O595" s="218">
        <v>6</v>
      </c>
      <c r="P595" s="208" t="s">
        <v>112</v>
      </c>
      <c r="Q595" s="240">
        <f t="shared" si="121"/>
        <v>6</v>
      </c>
      <c r="R595" s="239">
        <v>1</v>
      </c>
      <c r="S595" s="240">
        <f t="shared" si="123"/>
        <v>7</v>
      </c>
      <c r="T595" s="216" t="s">
        <v>48</v>
      </c>
      <c r="U595" s="196" t="str">
        <f t="shared" si="122"/>
        <v>7 Hrs</v>
      </c>
    </row>
    <row r="596" spans="3:21" s="185" customFormat="1" ht="20.25" customHeight="1">
      <c r="C596" s="198"/>
      <c r="D596" s="203">
        <f t="shared" si="130"/>
        <v>596</v>
      </c>
      <c r="E596" s="207" t="s">
        <v>604</v>
      </c>
      <c r="F596" s="211">
        <f t="shared" si="124"/>
        <v>595</v>
      </c>
      <c r="G596" s="206" t="s">
        <v>63</v>
      </c>
      <c r="H596" s="206"/>
      <c r="I596" s="224">
        <v>16</v>
      </c>
      <c r="J596" s="208" t="str">
        <f>J595</f>
        <v>3000 mm</v>
      </c>
      <c r="K596" s="234">
        <v>1</v>
      </c>
      <c r="L596" s="208" t="s">
        <v>81</v>
      </c>
      <c r="M596" s="217">
        <v>1</v>
      </c>
      <c r="N596" s="208" t="s">
        <v>39</v>
      </c>
      <c r="O596" s="218">
        <v>1</v>
      </c>
      <c r="P596" s="208" t="s">
        <v>112</v>
      </c>
      <c r="Q596" s="240">
        <f t="shared" si="121"/>
        <v>1</v>
      </c>
      <c r="R596" s="239">
        <v>1</v>
      </c>
      <c r="S596" s="240">
        <f t="shared" si="123"/>
        <v>2</v>
      </c>
      <c r="T596" s="216" t="s">
        <v>48</v>
      </c>
      <c r="U596" s="196" t="str">
        <f t="shared" si="122"/>
        <v>2 Hrs</v>
      </c>
    </row>
    <row r="597" spans="3:21" s="185" customFormat="1" ht="20.25" customHeight="1">
      <c r="C597" s="198">
        <f>D597</f>
        <v>597</v>
      </c>
      <c r="D597" s="203">
        <f t="shared" si="130"/>
        <v>597</v>
      </c>
      <c r="E597" s="209" t="s">
        <v>605</v>
      </c>
      <c r="F597" s="210">
        <f>D591</f>
        <v>591</v>
      </c>
      <c r="G597" s="206"/>
      <c r="H597" s="206"/>
      <c r="I597" s="208"/>
      <c r="J597" s="208"/>
      <c r="K597" s="234"/>
      <c r="L597" s="208"/>
      <c r="M597" s="217"/>
      <c r="N597" s="208"/>
      <c r="O597" s="218"/>
      <c r="P597" s="208"/>
      <c r="Q597" s="240"/>
      <c r="R597" s="239"/>
      <c r="S597" s="240"/>
      <c r="T597" s="216"/>
      <c r="U597" s="196"/>
    </row>
    <row r="598" spans="3:21" s="185" customFormat="1" ht="20.25" customHeight="1">
      <c r="C598" s="198"/>
      <c r="D598" s="203">
        <f t="shared" si="130"/>
        <v>598</v>
      </c>
      <c r="E598" s="207" t="s">
        <v>606</v>
      </c>
      <c r="F598" s="211"/>
      <c r="G598" s="206" t="s">
        <v>55</v>
      </c>
      <c r="H598" s="206"/>
      <c r="I598" s="208"/>
      <c r="J598" s="234" t="str">
        <f>J593</f>
        <v>1550 mm id</v>
      </c>
      <c r="K598" s="234">
        <v>1</v>
      </c>
      <c r="L598" s="208" t="s">
        <v>81</v>
      </c>
      <c r="M598" s="217">
        <v>1</v>
      </c>
      <c r="N598" s="208" t="s">
        <v>39</v>
      </c>
      <c r="O598" s="218">
        <v>3</v>
      </c>
      <c r="P598" s="208" t="s">
        <v>41</v>
      </c>
      <c r="Q598" s="240">
        <f t="shared" si="121"/>
        <v>3</v>
      </c>
      <c r="R598" s="239">
        <v>0</v>
      </c>
      <c r="S598" s="240">
        <f t="shared" si="123"/>
        <v>3</v>
      </c>
      <c r="T598" s="216" t="s">
        <v>48</v>
      </c>
      <c r="U598" s="196" t="str">
        <f t="shared" si="122"/>
        <v>3 Hrs</v>
      </c>
    </row>
    <row r="599" spans="3:21" s="185" customFormat="1" ht="20.25" customHeight="1">
      <c r="C599" s="198"/>
      <c r="D599" s="203">
        <f t="shared" si="130"/>
        <v>599</v>
      </c>
      <c r="E599" s="207" t="s">
        <v>607</v>
      </c>
      <c r="F599" s="211">
        <f t="shared" si="124"/>
        <v>598</v>
      </c>
      <c r="G599" s="206" t="s">
        <v>55</v>
      </c>
      <c r="H599" s="206"/>
      <c r="I599" s="208"/>
      <c r="J599" s="234" t="str">
        <f>J598</f>
        <v>1550 mm id</v>
      </c>
      <c r="K599" s="234">
        <v>1</v>
      </c>
      <c r="L599" s="208" t="s">
        <v>81</v>
      </c>
      <c r="M599" s="217">
        <v>1</v>
      </c>
      <c r="N599" s="208" t="s">
        <v>39</v>
      </c>
      <c r="O599" s="218">
        <v>4</v>
      </c>
      <c r="P599" s="208" t="s">
        <v>41</v>
      </c>
      <c r="Q599" s="240">
        <f t="shared" si="121"/>
        <v>4</v>
      </c>
      <c r="R599" s="239">
        <v>0</v>
      </c>
      <c r="S599" s="240">
        <f t="shared" si="123"/>
        <v>4</v>
      </c>
      <c r="T599" s="216" t="s">
        <v>48</v>
      </c>
      <c r="U599" s="196" t="str">
        <f t="shared" si="122"/>
        <v>4 Hrs</v>
      </c>
    </row>
    <row r="600" spans="3:21" s="185" customFormat="1" ht="20.25" customHeight="1">
      <c r="C600" s="198"/>
      <c r="D600" s="203">
        <f t="shared" si="130"/>
        <v>600</v>
      </c>
      <c r="E600" s="207" t="s">
        <v>608</v>
      </c>
      <c r="F600" s="211">
        <f t="shared" si="124"/>
        <v>599</v>
      </c>
      <c r="G600" s="206" t="s">
        <v>44</v>
      </c>
      <c r="H600" s="206"/>
      <c r="I600" s="208"/>
      <c r="J600" s="234" t="str">
        <f>J599</f>
        <v>1550 mm id</v>
      </c>
      <c r="K600" s="234">
        <v>1</v>
      </c>
      <c r="L600" s="208" t="s">
        <v>81</v>
      </c>
      <c r="M600" s="217">
        <v>1</v>
      </c>
      <c r="N600" s="208" t="s">
        <v>39</v>
      </c>
      <c r="O600" s="218">
        <v>0.5</v>
      </c>
      <c r="P600" s="208" t="s">
        <v>41</v>
      </c>
      <c r="Q600" s="240">
        <f t="shared" si="121"/>
        <v>0.5</v>
      </c>
      <c r="R600" s="239">
        <v>0</v>
      </c>
      <c r="S600" s="240">
        <f t="shared" si="123"/>
        <v>0.5</v>
      </c>
      <c r="T600" s="216" t="s">
        <v>48</v>
      </c>
      <c r="U600" s="196" t="str">
        <f t="shared" si="122"/>
        <v>0.5 Hrs</v>
      </c>
    </row>
    <row r="601" spans="3:21" s="185" customFormat="1" ht="20.25" customHeight="1">
      <c r="C601" s="198"/>
      <c r="D601" s="203">
        <f t="shared" si="130"/>
        <v>601</v>
      </c>
      <c r="E601" s="207" t="s">
        <v>609</v>
      </c>
      <c r="F601" s="211">
        <f t="shared" si="124"/>
        <v>600</v>
      </c>
      <c r="G601" s="206" t="s">
        <v>55</v>
      </c>
      <c r="H601" s="206"/>
      <c r="I601" s="224" t="s">
        <v>610</v>
      </c>
      <c r="J601" s="208" t="str">
        <f>J600</f>
        <v>1550 mm id</v>
      </c>
      <c r="K601" s="234">
        <v>72</v>
      </c>
      <c r="L601" s="208" t="s">
        <v>611</v>
      </c>
      <c r="M601" s="217">
        <v>1</v>
      </c>
      <c r="N601" s="208" t="s">
        <v>39</v>
      </c>
      <c r="O601" s="218">
        <v>4</v>
      </c>
      <c r="P601" s="208" t="s">
        <v>41</v>
      </c>
      <c r="Q601" s="240">
        <f t="shared" si="121"/>
        <v>4</v>
      </c>
      <c r="R601" s="239">
        <v>0</v>
      </c>
      <c r="S601" s="240">
        <f t="shared" si="123"/>
        <v>4</v>
      </c>
      <c r="T601" s="216" t="s">
        <v>48</v>
      </c>
      <c r="U601" s="196" t="str">
        <f t="shared" si="122"/>
        <v>4 Hrs</v>
      </c>
    </row>
    <row r="602" spans="3:21" s="185" customFormat="1" ht="20.25" customHeight="1">
      <c r="C602" s="198"/>
      <c r="D602" s="203">
        <f t="shared" si="130"/>
        <v>602</v>
      </c>
      <c r="E602" s="207" t="s">
        <v>612</v>
      </c>
      <c r="F602" s="211">
        <f t="shared" si="124"/>
        <v>601</v>
      </c>
      <c r="G602" s="206" t="s">
        <v>44</v>
      </c>
      <c r="H602" s="206"/>
      <c r="I602" s="224" t="s">
        <v>610</v>
      </c>
      <c r="J602" s="208" t="str">
        <f>J601</f>
        <v>1550 mm id</v>
      </c>
      <c r="K602" s="234">
        <v>1</v>
      </c>
      <c r="L602" s="208" t="s">
        <v>39</v>
      </c>
      <c r="M602" s="217">
        <v>1</v>
      </c>
      <c r="N602" s="208" t="s">
        <v>39</v>
      </c>
      <c r="O602" s="218">
        <v>1</v>
      </c>
      <c r="P602" s="208" t="s">
        <v>41</v>
      </c>
      <c r="Q602" s="240">
        <f t="shared" si="121"/>
        <v>1</v>
      </c>
      <c r="R602" s="239">
        <v>0</v>
      </c>
      <c r="S602" s="240">
        <f t="shared" si="123"/>
        <v>1</v>
      </c>
      <c r="T602" s="216" t="s">
        <v>48</v>
      </c>
      <c r="U602" s="196" t="str">
        <f t="shared" si="122"/>
        <v>1 Hrs</v>
      </c>
    </row>
    <row r="603" spans="3:21" s="185" customFormat="1" ht="20.25" customHeight="1">
      <c r="C603" s="198">
        <f t="shared" ref="C603:C604" si="131">D603</f>
        <v>603</v>
      </c>
      <c r="D603" s="203">
        <f t="shared" si="130"/>
        <v>603</v>
      </c>
      <c r="E603" s="209" t="s">
        <v>613</v>
      </c>
      <c r="F603" s="210"/>
      <c r="G603" s="206"/>
      <c r="H603" s="206"/>
      <c r="I603" s="208"/>
      <c r="J603" s="208"/>
      <c r="K603" s="234"/>
      <c r="L603" s="208"/>
      <c r="M603" s="217"/>
      <c r="N603" s="208"/>
      <c r="O603" s="218"/>
      <c r="P603" s="208"/>
      <c r="Q603" s="240"/>
      <c r="R603" s="239"/>
      <c r="S603" s="240"/>
      <c r="T603" s="216"/>
      <c r="U603" s="196"/>
    </row>
    <row r="604" spans="3:21" s="185" customFormat="1" ht="20.25" customHeight="1">
      <c r="C604" s="198">
        <f t="shared" si="131"/>
        <v>604</v>
      </c>
      <c r="D604" s="203">
        <f t="shared" si="130"/>
        <v>604</v>
      </c>
      <c r="E604" s="209" t="s">
        <v>614</v>
      </c>
      <c r="F604" s="210" t="str">
        <f>CONCATENATE(D46,",",D177)</f>
        <v>46,177</v>
      </c>
      <c r="G604" s="206"/>
      <c r="H604" s="206"/>
      <c r="I604" s="208"/>
      <c r="J604" s="208"/>
      <c r="K604" s="234"/>
      <c r="L604" s="208"/>
      <c r="M604" s="217"/>
      <c r="N604" s="208"/>
      <c r="O604" s="218"/>
      <c r="P604" s="208"/>
      <c r="Q604" s="240"/>
      <c r="R604" s="239"/>
      <c r="S604" s="240"/>
      <c r="T604" s="216"/>
      <c r="U604" s="196"/>
    </row>
    <row r="605" spans="3:21" s="185" customFormat="1" ht="20.25" customHeight="1">
      <c r="C605" s="198"/>
      <c r="D605" s="203">
        <f t="shared" si="130"/>
        <v>605</v>
      </c>
      <c r="E605" s="207" t="s">
        <v>615</v>
      </c>
      <c r="F605" s="211"/>
      <c r="G605" s="206" t="s">
        <v>616</v>
      </c>
      <c r="H605" s="206"/>
      <c r="I605" s="224" t="s">
        <v>617</v>
      </c>
      <c r="J605" s="234" t="s">
        <v>618</v>
      </c>
      <c r="K605" s="234"/>
      <c r="L605" s="208"/>
      <c r="M605" s="217">
        <v>1</v>
      </c>
      <c r="N605" s="208"/>
      <c r="O605" s="218">
        <v>1.5</v>
      </c>
      <c r="P605" s="208" t="s">
        <v>41</v>
      </c>
      <c r="Q605" s="240">
        <f t="shared" ref="Q605:Q642" si="132">M605*O605</f>
        <v>1.5</v>
      </c>
      <c r="R605" s="239">
        <v>0</v>
      </c>
      <c r="S605" s="240">
        <f t="shared" ref="S605:S668" si="133">ROUND(Q605+R605,2)</f>
        <v>1.5</v>
      </c>
      <c r="T605" s="216" t="s">
        <v>48</v>
      </c>
      <c r="U605" s="196" t="str">
        <f t="shared" ref="U605:U667" si="134">CONCATENATE(S605," ",T605)</f>
        <v>1.5 Hrs</v>
      </c>
    </row>
    <row r="606" spans="3:21" s="185" customFormat="1" ht="20.25" customHeight="1">
      <c r="C606" s="198"/>
      <c r="D606" s="203">
        <f t="shared" si="130"/>
        <v>606</v>
      </c>
      <c r="E606" s="207" t="s">
        <v>619</v>
      </c>
      <c r="F606" s="211">
        <f t="shared" ref="F606:F642" si="135">D605</f>
        <v>605</v>
      </c>
      <c r="G606" s="206" t="s">
        <v>620</v>
      </c>
      <c r="H606" s="206"/>
      <c r="I606" s="208"/>
      <c r="J606" s="234" t="s">
        <v>621</v>
      </c>
      <c r="K606" s="234">
        <v>1</v>
      </c>
      <c r="L606" s="208" t="s">
        <v>81</v>
      </c>
      <c r="M606" s="217">
        <v>19</v>
      </c>
      <c r="N606" s="208" t="s">
        <v>81</v>
      </c>
      <c r="O606" s="218">
        <v>0.5</v>
      </c>
      <c r="P606" s="208" t="s">
        <v>112</v>
      </c>
      <c r="Q606" s="240">
        <f t="shared" si="132"/>
        <v>9.5</v>
      </c>
      <c r="R606" s="239">
        <v>1</v>
      </c>
      <c r="S606" s="240">
        <f t="shared" si="133"/>
        <v>10.5</v>
      </c>
      <c r="T606" s="216" t="s">
        <v>48</v>
      </c>
      <c r="U606" s="196" t="str">
        <f t="shared" si="134"/>
        <v>10.5 Hrs</v>
      </c>
    </row>
    <row r="607" spans="3:21" s="185" customFormat="1" ht="20.25" customHeight="1">
      <c r="C607" s="198">
        <f>D607</f>
        <v>607</v>
      </c>
      <c r="D607" s="203">
        <f t="shared" si="130"/>
        <v>607</v>
      </c>
      <c r="E607" s="209" t="s">
        <v>622</v>
      </c>
      <c r="F607" s="210" t="str">
        <f>CONCATENATE(D604,",",412)</f>
        <v>604,412</v>
      </c>
      <c r="G607" s="206"/>
      <c r="H607" s="206"/>
      <c r="I607" s="208"/>
      <c r="J607" s="208"/>
      <c r="K607" s="234"/>
      <c r="L607" s="208"/>
      <c r="M607" s="217"/>
      <c r="N607" s="208"/>
      <c r="O607" s="218"/>
      <c r="P607" s="208"/>
      <c r="Q607" s="240"/>
      <c r="R607" s="239"/>
      <c r="S607" s="240"/>
      <c r="T607" s="216"/>
      <c r="U607" s="196"/>
    </row>
    <row r="608" spans="3:21" s="185" customFormat="1" ht="20.25" customHeight="1">
      <c r="C608" s="198"/>
      <c r="D608" s="203">
        <f t="shared" si="130"/>
        <v>608</v>
      </c>
      <c r="E608" s="207" t="s">
        <v>622</v>
      </c>
      <c r="F608" s="211"/>
      <c r="G608" s="206" t="s">
        <v>623</v>
      </c>
      <c r="H608" s="206"/>
      <c r="I608" s="224" t="s">
        <v>266</v>
      </c>
      <c r="J608" s="234" t="s">
        <v>624</v>
      </c>
      <c r="K608" s="234">
        <v>654</v>
      </c>
      <c r="L608" s="208" t="s">
        <v>81</v>
      </c>
      <c r="M608" s="235">
        <f>K608</f>
        <v>654</v>
      </c>
      <c r="N608" s="208" t="s">
        <v>81</v>
      </c>
      <c r="O608" s="246">
        <f>1/60*5</f>
        <v>8.3333333333333329E-2</v>
      </c>
      <c r="P608" s="208" t="s">
        <v>87</v>
      </c>
      <c r="Q608" s="240">
        <f t="shared" si="132"/>
        <v>54.5</v>
      </c>
      <c r="R608" s="239">
        <v>1</v>
      </c>
      <c r="S608" s="240">
        <f t="shared" si="133"/>
        <v>55.5</v>
      </c>
      <c r="T608" s="216" t="s">
        <v>48</v>
      </c>
      <c r="U608" s="196" t="str">
        <f t="shared" si="134"/>
        <v>55.5 Hrs</v>
      </c>
    </row>
    <row r="609" spans="3:21" s="185" customFormat="1" ht="20.25" customHeight="1">
      <c r="C609" s="198"/>
      <c r="D609" s="203">
        <f t="shared" si="130"/>
        <v>609</v>
      </c>
      <c r="E609" s="207" t="s">
        <v>625</v>
      </c>
      <c r="F609" s="211">
        <f t="shared" si="135"/>
        <v>608</v>
      </c>
      <c r="G609" s="206" t="s">
        <v>626</v>
      </c>
      <c r="H609" s="206"/>
      <c r="I609" s="224" t="s">
        <v>266</v>
      </c>
      <c r="J609" s="234" t="s">
        <v>627</v>
      </c>
      <c r="K609" s="234">
        <v>14</v>
      </c>
      <c r="L609" s="208" t="s">
        <v>81</v>
      </c>
      <c r="M609" s="235">
        <f>K609</f>
        <v>14</v>
      </c>
      <c r="N609" s="208" t="s">
        <v>81</v>
      </c>
      <c r="O609" s="246">
        <v>0.5</v>
      </c>
      <c r="P609" s="208" t="s">
        <v>87</v>
      </c>
      <c r="Q609" s="240">
        <f t="shared" si="132"/>
        <v>7</v>
      </c>
      <c r="R609" s="239">
        <v>1</v>
      </c>
      <c r="S609" s="240">
        <f t="shared" si="133"/>
        <v>8</v>
      </c>
      <c r="T609" s="216" t="s">
        <v>48</v>
      </c>
      <c r="U609" s="196" t="str">
        <f t="shared" si="134"/>
        <v>8 Hrs</v>
      </c>
    </row>
    <row r="610" spans="3:21" s="185" customFormat="1" ht="20.25" customHeight="1">
      <c r="C610" s="198"/>
      <c r="D610" s="203">
        <f t="shared" si="130"/>
        <v>610</v>
      </c>
      <c r="E610" s="207" t="s">
        <v>622</v>
      </c>
      <c r="F610" s="211">
        <f t="shared" si="135"/>
        <v>609</v>
      </c>
      <c r="G610" s="206" t="s">
        <v>623</v>
      </c>
      <c r="H610" s="206"/>
      <c r="I610" s="224" t="s">
        <v>266</v>
      </c>
      <c r="J610" s="208" t="str">
        <f>J608</f>
        <v>7000 lg</v>
      </c>
      <c r="K610" s="234">
        <v>654</v>
      </c>
      <c r="L610" s="208" t="s">
        <v>81</v>
      </c>
      <c r="M610" s="235">
        <f>K610</f>
        <v>654</v>
      </c>
      <c r="N610" s="208" t="s">
        <v>81</v>
      </c>
      <c r="O610" s="246">
        <f>1/60*5</f>
        <v>8.3333333333333329E-2</v>
      </c>
      <c r="P610" s="208" t="s">
        <v>87</v>
      </c>
      <c r="Q610" s="240">
        <f t="shared" si="132"/>
        <v>54.5</v>
      </c>
      <c r="R610" s="239">
        <v>1</v>
      </c>
      <c r="S610" s="240">
        <f t="shared" si="133"/>
        <v>55.5</v>
      </c>
      <c r="T610" s="216" t="s">
        <v>48</v>
      </c>
      <c r="U610" s="196" t="str">
        <f t="shared" si="134"/>
        <v>55.5 Hrs</v>
      </c>
    </row>
    <row r="611" spans="3:21" s="185" customFormat="1" ht="20.25" customHeight="1">
      <c r="C611" s="198">
        <f>D611</f>
        <v>611</v>
      </c>
      <c r="D611" s="203">
        <f t="shared" si="130"/>
        <v>611</v>
      </c>
      <c r="E611" s="209" t="s">
        <v>628</v>
      </c>
      <c r="F611" s="210">
        <f>D607</f>
        <v>607</v>
      </c>
      <c r="G611" s="206"/>
      <c r="H611" s="206"/>
      <c r="I611" s="208"/>
      <c r="J611" s="208"/>
      <c r="K611" s="234"/>
      <c r="L611" s="208"/>
      <c r="M611" s="217"/>
      <c r="N611" s="208"/>
      <c r="O611" s="218"/>
      <c r="P611" s="208"/>
      <c r="Q611" s="240"/>
      <c r="R611" s="239"/>
      <c r="S611" s="240"/>
      <c r="T611" s="216"/>
      <c r="U611" s="196"/>
    </row>
    <row r="612" spans="3:21" s="185" customFormat="1" ht="20.25" customHeight="1">
      <c r="C612" s="198"/>
      <c r="D612" s="203">
        <f t="shared" si="130"/>
        <v>612</v>
      </c>
      <c r="E612" s="207" t="s">
        <v>629</v>
      </c>
      <c r="F612" s="211"/>
      <c r="G612" s="206" t="s">
        <v>44</v>
      </c>
      <c r="H612" s="206"/>
      <c r="I612" s="224">
        <v>8</v>
      </c>
      <c r="J612" s="234" t="s">
        <v>630</v>
      </c>
      <c r="K612" s="234">
        <v>2</v>
      </c>
      <c r="L612" s="208" t="s">
        <v>81</v>
      </c>
      <c r="M612" s="217">
        <v>2</v>
      </c>
      <c r="N612" s="208" t="s">
        <v>81</v>
      </c>
      <c r="O612" s="246">
        <v>3</v>
      </c>
      <c r="P612" s="208" t="s">
        <v>87</v>
      </c>
      <c r="Q612" s="240">
        <f t="shared" si="132"/>
        <v>6</v>
      </c>
      <c r="R612" s="239">
        <v>1</v>
      </c>
      <c r="S612" s="240">
        <f t="shared" si="133"/>
        <v>7</v>
      </c>
      <c r="T612" s="216" t="s">
        <v>48</v>
      </c>
      <c r="U612" s="196" t="str">
        <f t="shared" si="134"/>
        <v>7 Hrs</v>
      </c>
    </row>
    <row r="613" spans="3:21" s="185" customFormat="1" ht="20.25" customHeight="1">
      <c r="C613" s="198"/>
      <c r="D613" s="203">
        <f t="shared" si="130"/>
        <v>613</v>
      </c>
      <c r="E613" s="207" t="s">
        <v>631</v>
      </c>
      <c r="F613" s="211">
        <f t="shared" si="135"/>
        <v>612</v>
      </c>
      <c r="G613" s="206" t="s">
        <v>115</v>
      </c>
      <c r="H613" s="206"/>
      <c r="I613" s="224">
        <v>8</v>
      </c>
      <c r="J613" s="234" t="s">
        <v>632</v>
      </c>
      <c r="K613" s="234">
        <v>1</v>
      </c>
      <c r="L613" s="208" t="s">
        <v>84</v>
      </c>
      <c r="M613" s="227" t="str">
        <f>LEFT(J613,SEARCH(" ",J613,1)-1)</f>
        <v>60</v>
      </c>
      <c r="N613" s="208" t="s">
        <v>633</v>
      </c>
      <c r="O613" s="246">
        <v>0.25</v>
      </c>
      <c r="P613" s="208" t="s">
        <v>87</v>
      </c>
      <c r="Q613" s="240">
        <f t="shared" si="132"/>
        <v>15</v>
      </c>
      <c r="R613" s="239">
        <v>1</v>
      </c>
      <c r="S613" s="240">
        <f t="shared" si="133"/>
        <v>16</v>
      </c>
      <c r="T613" s="216" t="s">
        <v>48</v>
      </c>
      <c r="U613" s="196" t="str">
        <f t="shared" si="134"/>
        <v>16 Hrs</v>
      </c>
    </row>
    <row r="614" spans="3:21" s="185" customFormat="1" ht="20.25" customHeight="1">
      <c r="C614" s="198"/>
      <c r="D614" s="203">
        <f t="shared" si="130"/>
        <v>614</v>
      </c>
      <c r="E614" s="207" t="s">
        <v>634</v>
      </c>
      <c r="F614" s="211">
        <f t="shared" si="135"/>
        <v>613</v>
      </c>
      <c r="G614" s="206" t="s">
        <v>61</v>
      </c>
      <c r="H614" s="206"/>
      <c r="I614" s="224">
        <v>1500</v>
      </c>
      <c r="J614" s="208" t="str">
        <f>J613</f>
        <v>60 joints</v>
      </c>
      <c r="K614" s="234">
        <v>1</v>
      </c>
      <c r="L614" s="208" t="s">
        <v>84</v>
      </c>
      <c r="M614" s="227" t="str">
        <f>LEFT(J614,SEARCH(" ",J614,1)-1)</f>
        <v>60</v>
      </c>
      <c r="N614" s="208" t="s">
        <v>633</v>
      </c>
      <c r="O614" s="246">
        <f>VLOOKUP(I614,BM!$A$2:$X$104,9,FALSE)</f>
        <v>0.25</v>
      </c>
      <c r="P614" s="208" t="s">
        <v>87</v>
      </c>
      <c r="Q614" s="240">
        <f t="shared" si="132"/>
        <v>15</v>
      </c>
      <c r="R614" s="239">
        <v>1</v>
      </c>
      <c r="S614" s="240">
        <f t="shared" si="133"/>
        <v>16</v>
      </c>
      <c r="T614" s="216" t="s">
        <v>48</v>
      </c>
      <c r="U614" s="196" t="str">
        <f t="shared" si="134"/>
        <v>16 Hrs</v>
      </c>
    </row>
    <row r="615" spans="3:21" s="185" customFormat="1" ht="20.25" customHeight="1">
      <c r="C615" s="198">
        <f>D615</f>
        <v>615</v>
      </c>
      <c r="D615" s="203">
        <f t="shared" si="130"/>
        <v>615</v>
      </c>
      <c r="E615" s="209" t="s">
        <v>635</v>
      </c>
      <c r="F615" s="210">
        <f>D611</f>
        <v>611</v>
      </c>
      <c r="G615" s="206"/>
      <c r="H615" s="206"/>
      <c r="I615" s="208"/>
      <c r="J615" s="208"/>
      <c r="K615" s="234"/>
      <c r="L615" s="208"/>
      <c r="M615" s="217"/>
      <c r="N615" s="208"/>
      <c r="O615" s="218"/>
      <c r="P615" s="208"/>
      <c r="Q615" s="240"/>
      <c r="R615" s="239"/>
      <c r="S615" s="240"/>
      <c r="T615" s="216"/>
      <c r="U615" s="196"/>
    </row>
    <row r="616" spans="3:21" s="185" customFormat="1" ht="20.25" customHeight="1">
      <c r="C616" s="198"/>
      <c r="D616" s="203">
        <f t="shared" si="130"/>
        <v>616</v>
      </c>
      <c r="E616" s="207" t="s">
        <v>636</v>
      </c>
      <c r="F616" s="211"/>
      <c r="G616" s="206" t="s">
        <v>637</v>
      </c>
      <c r="H616" s="206"/>
      <c r="I616" s="208"/>
      <c r="J616" s="234" t="s">
        <v>638</v>
      </c>
      <c r="K616" s="234">
        <v>1</v>
      </c>
      <c r="L616" s="208" t="s">
        <v>81</v>
      </c>
      <c r="M616" s="217">
        <v>1</v>
      </c>
      <c r="N616" s="208" t="s">
        <v>81</v>
      </c>
      <c r="O616" s="218">
        <v>16</v>
      </c>
      <c r="P616" s="208" t="s">
        <v>87</v>
      </c>
      <c r="Q616" s="240">
        <f t="shared" si="132"/>
        <v>16</v>
      </c>
      <c r="R616" s="239">
        <v>1</v>
      </c>
      <c r="S616" s="240">
        <f t="shared" si="133"/>
        <v>17</v>
      </c>
      <c r="T616" s="216" t="s">
        <v>48</v>
      </c>
      <c r="U616" s="196" t="str">
        <f t="shared" si="134"/>
        <v>17 Hrs</v>
      </c>
    </row>
    <row r="617" spans="3:21" s="185" customFormat="1" ht="20.25" customHeight="1">
      <c r="C617" s="198"/>
      <c r="D617" s="203">
        <f t="shared" si="130"/>
        <v>617</v>
      </c>
      <c r="E617" s="207" t="s">
        <v>639</v>
      </c>
      <c r="F617" s="211" t="str">
        <f>CONCATENATE(D616,",",D56)</f>
        <v>616,56</v>
      </c>
      <c r="G617" s="206" t="s">
        <v>640</v>
      </c>
      <c r="H617" s="206"/>
      <c r="I617" s="224" t="s">
        <v>641</v>
      </c>
      <c r="J617" s="208"/>
      <c r="K617" s="234">
        <v>1</v>
      </c>
      <c r="L617" s="208" t="s">
        <v>81</v>
      </c>
      <c r="M617" s="217">
        <v>1</v>
      </c>
      <c r="N617" s="208" t="s">
        <v>81</v>
      </c>
      <c r="O617" s="218">
        <v>4</v>
      </c>
      <c r="P617" s="208" t="s">
        <v>87</v>
      </c>
      <c r="Q617" s="240">
        <f t="shared" si="132"/>
        <v>4</v>
      </c>
      <c r="R617" s="239">
        <v>1</v>
      </c>
      <c r="S617" s="240">
        <f t="shared" si="133"/>
        <v>5</v>
      </c>
      <c r="T617" s="216" t="s">
        <v>48</v>
      </c>
      <c r="U617" s="196" t="str">
        <f t="shared" si="134"/>
        <v>5 Hrs</v>
      </c>
    </row>
    <row r="618" spans="3:21" s="185" customFormat="1" ht="20.25" customHeight="1">
      <c r="C618" s="198"/>
      <c r="D618" s="203">
        <f t="shared" si="130"/>
        <v>618</v>
      </c>
      <c r="E618" s="207" t="s">
        <v>642</v>
      </c>
      <c r="F618" s="211">
        <f t="shared" si="135"/>
        <v>617</v>
      </c>
      <c r="G618" s="206" t="s">
        <v>643</v>
      </c>
      <c r="H618" s="206"/>
      <c r="I618" s="224" t="s">
        <v>644</v>
      </c>
      <c r="J618" s="234">
        <v>1490</v>
      </c>
      <c r="K618" s="234">
        <v>1</v>
      </c>
      <c r="L618" s="208" t="s">
        <v>81</v>
      </c>
      <c r="M618" s="217">
        <v>56</v>
      </c>
      <c r="N618" s="208" t="s">
        <v>645</v>
      </c>
      <c r="O618" s="246">
        <f>1/60*10</f>
        <v>0.16666666666666666</v>
      </c>
      <c r="P618" s="208" t="s">
        <v>112</v>
      </c>
      <c r="Q618" s="240">
        <f t="shared" si="132"/>
        <v>9.3333333333333321</v>
      </c>
      <c r="R618" s="239">
        <v>1</v>
      </c>
      <c r="S618" s="240">
        <f t="shared" si="133"/>
        <v>10.33</v>
      </c>
      <c r="T618" s="216" t="s">
        <v>48</v>
      </c>
      <c r="U618" s="196" t="str">
        <f t="shared" si="134"/>
        <v>10.33 Hrs</v>
      </c>
    </row>
    <row r="619" spans="3:21" s="185" customFormat="1" ht="20.25" customHeight="1">
      <c r="C619" s="198">
        <f>D619</f>
        <v>619</v>
      </c>
      <c r="D619" s="203">
        <f t="shared" si="130"/>
        <v>619</v>
      </c>
      <c r="E619" s="209" t="s">
        <v>646</v>
      </c>
      <c r="F619" s="210">
        <f>D615</f>
        <v>615</v>
      </c>
      <c r="G619" s="206"/>
      <c r="H619" s="206"/>
      <c r="I619" s="208"/>
      <c r="J619" s="208"/>
      <c r="K619" s="234"/>
      <c r="L619" s="208"/>
      <c r="M619" s="217"/>
      <c r="N619" s="208"/>
      <c r="O619" s="218"/>
      <c r="P619" s="208"/>
      <c r="Q619" s="240"/>
      <c r="R619" s="239"/>
      <c r="S619" s="240"/>
      <c r="T619" s="216"/>
      <c r="U619" s="196"/>
    </row>
    <row r="620" spans="3:21" s="185" customFormat="1" ht="20.25" customHeight="1">
      <c r="C620" s="198"/>
      <c r="D620" s="203">
        <f t="shared" si="130"/>
        <v>620</v>
      </c>
      <c r="E620" s="207" t="s">
        <v>647</v>
      </c>
      <c r="F620" s="211"/>
      <c r="G620" s="206" t="s">
        <v>201</v>
      </c>
      <c r="H620" s="206"/>
      <c r="I620" s="224" t="s">
        <v>648</v>
      </c>
      <c r="J620" s="234" t="s">
        <v>649</v>
      </c>
      <c r="K620" s="234">
        <v>1308</v>
      </c>
      <c r="L620" s="208" t="s">
        <v>81</v>
      </c>
      <c r="M620" s="227" t="str">
        <f>LEFT(J620,SEARCH(" ",J620,1)-1)</f>
        <v>1308</v>
      </c>
      <c r="N620" s="208" t="s">
        <v>650</v>
      </c>
      <c r="O620" s="246">
        <f>1/60*1</f>
        <v>1.6666666666666666E-2</v>
      </c>
      <c r="P620" s="208" t="s">
        <v>112</v>
      </c>
      <c r="Q620" s="240">
        <f t="shared" si="132"/>
        <v>21.8</v>
      </c>
      <c r="R620" s="239">
        <v>1</v>
      </c>
      <c r="S620" s="240">
        <f t="shared" si="133"/>
        <v>22.8</v>
      </c>
      <c r="T620" s="216" t="s">
        <v>48</v>
      </c>
      <c r="U620" s="196" t="str">
        <f t="shared" si="134"/>
        <v>22.8 Hrs</v>
      </c>
    </row>
    <row r="621" spans="3:21" s="185" customFormat="1" ht="20.25" customHeight="1">
      <c r="C621" s="198"/>
      <c r="D621" s="203">
        <f t="shared" si="130"/>
        <v>621</v>
      </c>
      <c r="E621" s="207" t="s">
        <v>651</v>
      </c>
      <c r="F621" s="211">
        <f t="shared" si="135"/>
        <v>620</v>
      </c>
      <c r="G621" s="206" t="s">
        <v>201</v>
      </c>
      <c r="H621" s="206"/>
      <c r="I621" s="224" t="s">
        <v>652</v>
      </c>
      <c r="J621" s="234" t="s">
        <v>649</v>
      </c>
      <c r="K621" s="234">
        <v>1308</v>
      </c>
      <c r="L621" s="208" t="s">
        <v>81</v>
      </c>
      <c r="M621" s="227" t="str">
        <f>LEFT(J621,SEARCH(" ",J621,1)-1)</f>
        <v>1308</v>
      </c>
      <c r="N621" s="208" t="s">
        <v>650</v>
      </c>
      <c r="O621" s="246">
        <f>1/60*0.5</f>
        <v>8.3333333333333332E-3</v>
      </c>
      <c r="P621" s="208" t="s">
        <v>112</v>
      </c>
      <c r="Q621" s="240">
        <f t="shared" si="132"/>
        <v>10.9</v>
      </c>
      <c r="R621" s="239">
        <v>1</v>
      </c>
      <c r="S621" s="240">
        <f t="shared" si="133"/>
        <v>11.9</v>
      </c>
      <c r="T621" s="216" t="s">
        <v>48</v>
      </c>
      <c r="U621" s="196" t="str">
        <f t="shared" si="134"/>
        <v>11.9 Hrs</v>
      </c>
    </row>
    <row r="622" spans="3:21" s="185" customFormat="1" ht="20.25" customHeight="1">
      <c r="C622" s="198"/>
      <c r="D622" s="203">
        <f t="shared" si="130"/>
        <v>622</v>
      </c>
      <c r="E622" s="207" t="s">
        <v>653</v>
      </c>
      <c r="F622" s="211">
        <f t="shared" si="135"/>
        <v>621</v>
      </c>
      <c r="G622" s="206" t="s">
        <v>44</v>
      </c>
      <c r="H622" s="206"/>
      <c r="I622" s="224" t="s">
        <v>652</v>
      </c>
      <c r="J622" s="234" t="s">
        <v>649</v>
      </c>
      <c r="K622" s="234">
        <v>1308</v>
      </c>
      <c r="L622" s="208" t="s">
        <v>81</v>
      </c>
      <c r="M622" s="227" t="str">
        <f>LEFT(J622,SEARCH(" ",J622,1)-1)</f>
        <v>1308</v>
      </c>
      <c r="N622" s="208" t="s">
        <v>654</v>
      </c>
      <c r="O622" s="246">
        <f>1/60*2</f>
        <v>3.3333333333333333E-2</v>
      </c>
      <c r="P622" s="208" t="s">
        <v>112</v>
      </c>
      <c r="Q622" s="240">
        <f t="shared" si="132"/>
        <v>43.6</v>
      </c>
      <c r="R622" s="239">
        <v>1</v>
      </c>
      <c r="S622" s="240">
        <f t="shared" si="133"/>
        <v>44.6</v>
      </c>
      <c r="T622" s="216" t="s">
        <v>48</v>
      </c>
      <c r="U622" s="196" t="str">
        <f t="shared" si="134"/>
        <v>44.6 Hrs</v>
      </c>
    </row>
    <row r="623" spans="3:21" s="185" customFormat="1" ht="20.25" customHeight="1">
      <c r="C623" s="198"/>
      <c r="D623" s="203">
        <f t="shared" si="130"/>
        <v>623</v>
      </c>
      <c r="E623" s="207" t="s">
        <v>655</v>
      </c>
      <c r="F623" s="211">
        <f t="shared" si="135"/>
        <v>622</v>
      </c>
      <c r="G623" s="206" t="s">
        <v>656</v>
      </c>
      <c r="H623" s="206"/>
      <c r="I623" s="224" t="s">
        <v>657</v>
      </c>
      <c r="J623" s="234" t="s">
        <v>658</v>
      </c>
      <c r="K623" s="225">
        <v>2616</v>
      </c>
      <c r="L623" s="208" t="s">
        <v>81</v>
      </c>
      <c r="M623" s="227" t="str">
        <f>LEFT(J623,SEARCH(" ",J623,1)-1)</f>
        <v>2616</v>
      </c>
      <c r="N623" s="208" t="s">
        <v>650</v>
      </c>
      <c r="O623" s="246">
        <f>1/60*0.5</f>
        <v>8.3333333333333332E-3</v>
      </c>
      <c r="P623" s="208" t="s">
        <v>112</v>
      </c>
      <c r="Q623" s="240">
        <f t="shared" si="132"/>
        <v>21.8</v>
      </c>
      <c r="R623" s="239">
        <v>1</v>
      </c>
      <c r="S623" s="240">
        <f t="shared" si="133"/>
        <v>22.8</v>
      </c>
      <c r="T623" s="216" t="s">
        <v>48</v>
      </c>
      <c r="U623" s="196" t="str">
        <f t="shared" si="134"/>
        <v>22.8 Hrs</v>
      </c>
    </row>
    <row r="624" spans="3:21" s="185" customFormat="1" ht="20.25" customHeight="1">
      <c r="C624" s="198">
        <f>D624</f>
        <v>624</v>
      </c>
      <c r="D624" s="203">
        <f t="shared" si="130"/>
        <v>624</v>
      </c>
      <c r="E624" s="209" t="s">
        <v>659</v>
      </c>
      <c r="F624" s="210">
        <f>D619</f>
        <v>619</v>
      </c>
      <c r="G624" s="206"/>
      <c r="H624" s="206"/>
      <c r="I624" s="208"/>
      <c r="J624" s="208"/>
      <c r="K624" s="234"/>
      <c r="L624" s="208"/>
      <c r="M624" s="217"/>
      <c r="N624" s="208"/>
      <c r="O624" s="218"/>
      <c r="P624" s="208"/>
      <c r="Q624" s="240"/>
      <c r="R624" s="239"/>
      <c r="S624" s="240"/>
      <c r="T624" s="216"/>
      <c r="U624" s="196"/>
    </row>
    <row r="625" spans="3:21" s="185" customFormat="1" ht="20.25" customHeight="1">
      <c r="C625" s="198"/>
      <c r="D625" s="203">
        <f t="shared" si="130"/>
        <v>625</v>
      </c>
      <c r="E625" s="207" t="s">
        <v>660</v>
      </c>
      <c r="F625" s="211"/>
      <c r="G625" s="206" t="s">
        <v>656</v>
      </c>
      <c r="H625" s="206"/>
      <c r="I625" s="208"/>
      <c r="J625" s="208"/>
      <c r="K625" s="234">
        <v>1</v>
      </c>
      <c r="L625" s="208" t="s">
        <v>39</v>
      </c>
      <c r="M625" s="217">
        <v>1</v>
      </c>
      <c r="N625" s="208" t="s">
        <v>661</v>
      </c>
      <c r="O625" s="218">
        <v>4</v>
      </c>
      <c r="P625" s="208" t="s">
        <v>112</v>
      </c>
      <c r="Q625" s="240">
        <f t="shared" si="132"/>
        <v>4</v>
      </c>
      <c r="R625" s="239">
        <v>1</v>
      </c>
      <c r="S625" s="240">
        <f t="shared" si="133"/>
        <v>5</v>
      </c>
      <c r="T625" s="216" t="s">
        <v>48</v>
      </c>
      <c r="U625" s="196" t="str">
        <f t="shared" si="134"/>
        <v>5 Hrs</v>
      </c>
    </row>
    <row r="626" spans="3:21" s="185" customFormat="1" ht="20.25" customHeight="1">
      <c r="C626" s="198"/>
      <c r="D626" s="203">
        <f t="shared" si="130"/>
        <v>626</v>
      </c>
      <c r="E626" s="207" t="s">
        <v>662</v>
      </c>
      <c r="F626" s="211">
        <f t="shared" si="135"/>
        <v>625</v>
      </c>
      <c r="G626" s="206" t="s">
        <v>44</v>
      </c>
      <c r="H626" s="206"/>
      <c r="I626" s="208"/>
      <c r="J626" s="208"/>
      <c r="K626" s="234">
        <v>1</v>
      </c>
      <c r="L626" s="208" t="s">
        <v>39</v>
      </c>
      <c r="M626" s="217">
        <v>1</v>
      </c>
      <c r="N626" s="208" t="s">
        <v>661</v>
      </c>
      <c r="O626" s="218">
        <v>1</v>
      </c>
      <c r="P626" s="208" t="s">
        <v>41</v>
      </c>
      <c r="Q626" s="240">
        <f t="shared" si="132"/>
        <v>1</v>
      </c>
      <c r="R626" s="239"/>
      <c r="S626" s="240">
        <f t="shared" si="133"/>
        <v>1</v>
      </c>
      <c r="T626" s="216" t="s">
        <v>48</v>
      </c>
      <c r="U626" s="196" t="str">
        <f t="shared" si="134"/>
        <v>1 Hrs</v>
      </c>
    </row>
    <row r="627" spans="3:21" s="185" customFormat="1" ht="20.25" customHeight="1">
      <c r="C627" s="198"/>
      <c r="D627" s="203">
        <f t="shared" si="130"/>
        <v>627</v>
      </c>
      <c r="E627" s="207" t="s">
        <v>663</v>
      </c>
      <c r="F627" s="211">
        <f t="shared" si="135"/>
        <v>626</v>
      </c>
      <c r="G627" s="206" t="s">
        <v>224</v>
      </c>
      <c r="H627" s="206"/>
      <c r="I627" s="208"/>
      <c r="J627" s="208"/>
      <c r="K627" s="234">
        <v>1</v>
      </c>
      <c r="L627" s="208" t="s">
        <v>39</v>
      </c>
      <c r="M627" s="217">
        <v>1</v>
      </c>
      <c r="N627" s="208" t="s">
        <v>39</v>
      </c>
      <c r="O627" s="218">
        <v>1</v>
      </c>
      <c r="P627" s="208" t="s">
        <v>162</v>
      </c>
      <c r="Q627" s="240">
        <f t="shared" si="132"/>
        <v>1</v>
      </c>
      <c r="R627" s="239"/>
      <c r="S627" s="240">
        <f t="shared" si="133"/>
        <v>1</v>
      </c>
      <c r="T627" s="216" t="s">
        <v>48</v>
      </c>
      <c r="U627" s="196" t="str">
        <f t="shared" si="134"/>
        <v>1 Hrs</v>
      </c>
    </row>
    <row r="628" spans="3:21" s="185" customFormat="1" ht="20.25" customHeight="1">
      <c r="C628" s="198">
        <f>D628</f>
        <v>628</v>
      </c>
      <c r="D628" s="203">
        <f t="shared" si="130"/>
        <v>628</v>
      </c>
      <c r="E628" s="209" t="s">
        <v>664</v>
      </c>
      <c r="F628" s="210">
        <f>D624</f>
        <v>624</v>
      </c>
      <c r="G628" s="206"/>
      <c r="H628" s="206"/>
      <c r="I628" s="208"/>
      <c r="J628" s="208"/>
      <c r="K628" s="234"/>
      <c r="L628" s="208"/>
      <c r="M628" s="217"/>
      <c r="N628" s="208"/>
      <c r="O628" s="218"/>
      <c r="P628" s="208"/>
      <c r="Q628" s="240"/>
      <c r="R628" s="239"/>
      <c r="S628" s="240"/>
      <c r="T628" s="216"/>
      <c r="U628" s="196"/>
    </row>
    <row r="629" spans="3:21" s="185" customFormat="1" ht="20.25" customHeight="1">
      <c r="C629" s="198"/>
      <c r="D629" s="203">
        <f t="shared" si="130"/>
        <v>629</v>
      </c>
      <c r="E629" s="207" t="s">
        <v>665</v>
      </c>
      <c r="F629" s="211"/>
      <c r="G629" s="206" t="s">
        <v>666</v>
      </c>
      <c r="H629" s="206"/>
      <c r="I629" s="224">
        <v>2.77</v>
      </c>
      <c r="J629" s="234" t="s">
        <v>667</v>
      </c>
      <c r="K629" s="234">
        <v>1308</v>
      </c>
      <c r="L629" s="208" t="s">
        <v>81</v>
      </c>
      <c r="M629" s="235">
        <f>K629</f>
        <v>1308</v>
      </c>
      <c r="N629" s="208" t="s">
        <v>668</v>
      </c>
      <c r="O629" s="246">
        <f>1/60*5</f>
        <v>8.3333333333333329E-2</v>
      </c>
      <c r="P629" s="208" t="s">
        <v>112</v>
      </c>
      <c r="Q629" s="240">
        <f t="shared" si="132"/>
        <v>109</v>
      </c>
      <c r="R629" s="239">
        <v>1</v>
      </c>
      <c r="S629" s="240">
        <f t="shared" si="133"/>
        <v>110</v>
      </c>
      <c r="T629" s="216" t="s">
        <v>48</v>
      </c>
      <c r="U629" s="196" t="str">
        <f t="shared" si="134"/>
        <v>110 Hrs</v>
      </c>
    </row>
    <row r="630" spans="3:21" s="185" customFormat="1" ht="20.25" customHeight="1">
      <c r="C630" s="198"/>
      <c r="D630" s="203">
        <f t="shared" si="130"/>
        <v>630</v>
      </c>
      <c r="E630" s="207" t="s">
        <v>669</v>
      </c>
      <c r="F630" s="211">
        <f t="shared" si="135"/>
        <v>629</v>
      </c>
      <c r="G630" s="206" t="s">
        <v>44</v>
      </c>
      <c r="H630" s="206"/>
      <c r="I630" s="224">
        <v>2.77</v>
      </c>
      <c r="J630" s="208"/>
      <c r="K630" s="234">
        <v>1308</v>
      </c>
      <c r="L630" s="208" t="s">
        <v>81</v>
      </c>
      <c r="M630" s="217">
        <v>1</v>
      </c>
      <c r="N630" s="208" t="s">
        <v>39</v>
      </c>
      <c r="O630" s="218">
        <v>8</v>
      </c>
      <c r="P630" s="208" t="s">
        <v>112</v>
      </c>
      <c r="Q630" s="240">
        <f t="shared" si="132"/>
        <v>8</v>
      </c>
      <c r="R630" s="239">
        <v>1</v>
      </c>
      <c r="S630" s="240">
        <f t="shared" si="133"/>
        <v>9</v>
      </c>
      <c r="T630" s="216" t="s">
        <v>48</v>
      </c>
      <c r="U630" s="196" t="str">
        <f t="shared" si="134"/>
        <v>9 Hrs</v>
      </c>
    </row>
    <row r="631" spans="3:21" s="185" customFormat="1" ht="20.25" customHeight="1">
      <c r="C631" s="198"/>
      <c r="D631" s="203">
        <f t="shared" si="130"/>
        <v>631</v>
      </c>
      <c r="E631" s="207" t="s">
        <v>670</v>
      </c>
      <c r="F631" s="211">
        <f t="shared" si="135"/>
        <v>630</v>
      </c>
      <c r="G631" s="206" t="s">
        <v>666</v>
      </c>
      <c r="H631" s="206"/>
      <c r="I631" s="224">
        <v>2.77</v>
      </c>
      <c r="J631" s="208"/>
      <c r="K631" s="234">
        <v>1308</v>
      </c>
      <c r="L631" s="208" t="s">
        <v>81</v>
      </c>
      <c r="M631" s="235">
        <f>K631</f>
        <v>1308</v>
      </c>
      <c r="N631" s="208" t="s">
        <v>668</v>
      </c>
      <c r="O631" s="246">
        <f>1/60*5</f>
        <v>8.3333333333333329E-2</v>
      </c>
      <c r="P631" s="208" t="s">
        <v>112</v>
      </c>
      <c r="Q631" s="240">
        <f t="shared" si="132"/>
        <v>109</v>
      </c>
      <c r="R631" s="239">
        <v>1</v>
      </c>
      <c r="S631" s="240">
        <f t="shared" si="133"/>
        <v>110</v>
      </c>
      <c r="T631" s="216" t="s">
        <v>48</v>
      </c>
      <c r="U631" s="196" t="str">
        <f t="shared" si="134"/>
        <v>110 Hrs</v>
      </c>
    </row>
    <row r="632" spans="3:21" s="185" customFormat="1" ht="20.25" customHeight="1">
      <c r="C632" s="198"/>
      <c r="D632" s="203">
        <f t="shared" si="130"/>
        <v>632</v>
      </c>
      <c r="E632" s="207" t="s">
        <v>671</v>
      </c>
      <c r="F632" s="211">
        <f t="shared" si="135"/>
        <v>631</v>
      </c>
      <c r="G632" s="206" t="s">
        <v>44</v>
      </c>
      <c r="H632" s="206"/>
      <c r="I632" s="224">
        <v>2.77</v>
      </c>
      <c r="J632" s="208"/>
      <c r="K632" s="234">
        <v>1308</v>
      </c>
      <c r="L632" s="208" t="s">
        <v>81</v>
      </c>
      <c r="M632" s="217">
        <v>1</v>
      </c>
      <c r="N632" s="208" t="s">
        <v>39</v>
      </c>
      <c r="O632" s="218">
        <v>8</v>
      </c>
      <c r="P632" s="208" t="s">
        <v>112</v>
      </c>
      <c r="Q632" s="240">
        <f t="shared" si="132"/>
        <v>8</v>
      </c>
      <c r="R632" s="239">
        <v>1</v>
      </c>
      <c r="S632" s="240">
        <f t="shared" si="133"/>
        <v>9</v>
      </c>
      <c r="T632" s="216" t="s">
        <v>48</v>
      </c>
      <c r="U632" s="196" t="str">
        <f t="shared" si="134"/>
        <v>9 Hrs</v>
      </c>
    </row>
    <row r="633" spans="3:21" s="185" customFormat="1" ht="20.25" customHeight="1">
      <c r="C633" s="198">
        <f>D633</f>
        <v>633</v>
      </c>
      <c r="D633" s="203">
        <f t="shared" si="130"/>
        <v>633</v>
      </c>
      <c r="E633" s="209" t="s">
        <v>672</v>
      </c>
      <c r="F633" s="210">
        <f>D628</f>
        <v>628</v>
      </c>
      <c r="G633" s="206"/>
      <c r="H633" s="206"/>
      <c r="I633" s="208"/>
      <c r="J633" s="208"/>
      <c r="K633" s="234"/>
      <c r="L633" s="208"/>
      <c r="M633" s="217"/>
      <c r="N633" s="208"/>
      <c r="O633" s="218"/>
      <c r="P633" s="208"/>
      <c r="Q633" s="240"/>
      <c r="R633" s="239"/>
      <c r="S633" s="240"/>
      <c r="T633" s="216"/>
      <c r="U633" s="196"/>
    </row>
    <row r="634" spans="3:21" s="185" customFormat="1" ht="20.25" customHeight="1">
      <c r="C634" s="198"/>
      <c r="D634" s="203">
        <f t="shared" si="130"/>
        <v>634</v>
      </c>
      <c r="E634" s="207" t="s">
        <v>673</v>
      </c>
      <c r="F634" s="211"/>
      <c r="G634" s="206" t="s">
        <v>666</v>
      </c>
      <c r="H634" s="206"/>
      <c r="I634" s="224">
        <v>2.77</v>
      </c>
      <c r="J634" s="208"/>
      <c r="K634" s="234">
        <v>1308</v>
      </c>
      <c r="L634" s="208" t="s">
        <v>81</v>
      </c>
      <c r="M634" s="235">
        <f>K634</f>
        <v>1308</v>
      </c>
      <c r="N634" s="208" t="s">
        <v>668</v>
      </c>
      <c r="O634" s="246">
        <f>1/60*5</f>
        <v>8.3333333333333329E-2</v>
      </c>
      <c r="P634" s="208" t="s">
        <v>112</v>
      </c>
      <c r="Q634" s="240">
        <f t="shared" si="132"/>
        <v>109</v>
      </c>
      <c r="R634" s="239">
        <v>1</v>
      </c>
      <c r="S634" s="240">
        <f t="shared" si="133"/>
        <v>110</v>
      </c>
      <c r="T634" s="216" t="s">
        <v>48</v>
      </c>
      <c r="U634" s="196" t="str">
        <f t="shared" si="134"/>
        <v>110 Hrs</v>
      </c>
    </row>
    <row r="635" spans="3:21" s="185" customFormat="1" ht="20.25" customHeight="1">
      <c r="C635" s="198"/>
      <c r="D635" s="203">
        <f t="shared" si="130"/>
        <v>635</v>
      </c>
      <c r="E635" s="207" t="s">
        <v>674</v>
      </c>
      <c r="F635" s="211">
        <f t="shared" si="135"/>
        <v>634</v>
      </c>
      <c r="G635" s="206" t="s">
        <v>44</v>
      </c>
      <c r="H635" s="206"/>
      <c r="I635" s="224">
        <v>2.77</v>
      </c>
      <c r="J635" s="208"/>
      <c r="K635" s="234">
        <v>1308</v>
      </c>
      <c r="L635" s="208" t="s">
        <v>81</v>
      </c>
      <c r="M635" s="217">
        <v>1</v>
      </c>
      <c r="N635" s="208" t="s">
        <v>39</v>
      </c>
      <c r="O635" s="218">
        <v>8</v>
      </c>
      <c r="P635" s="208" t="s">
        <v>112</v>
      </c>
      <c r="Q635" s="240">
        <f t="shared" si="132"/>
        <v>8</v>
      </c>
      <c r="R635" s="239">
        <v>1</v>
      </c>
      <c r="S635" s="240">
        <f t="shared" si="133"/>
        <v>9</v>
      </c>
      <c r="T635" s="216" t="s">
        <v>48</v>
      </c>
      <c r="U635" s="196" t="str">
        <f t="shared" si="134"/>
        <v>9 Hrs</v>
      </c>
    </row>
    <row r="636" spans="3:21" s="185" customFormat="1" ht="20.25" customHeight="1">
      <c r="C636" s="198"/>
      <c r="D636" s="203">
        <f t="shared" si="130"/>
        <v>636</v>
      </c>
      <c r="E636" s="207" t="s">
        <v>675</v>
      </c>
      <c r="F636" s="211">
        <f t="shared" si="135"/>
        <v>635</v>
      </c>
      <c r="G636" s="206" t="s">
        <v>666</v>
      </c>
      <c r="H636" s="206"/>
      <c r="I636" s="224">
        <v>2.77</v>
      </c>
      <c r="J636" s="208"/>
      <c r="K636" s="234">
        <v>1308</v>
      </c>
      <c r="L636" s="208" t="s">
        <v>81</v>
      </c>
      <c r="M636" s="235">
        <f>K636</f>
        <v>1308</v>
      </c>
      <c r="N636" s="208" t="s">
        <v>668</v>
      </c>
      <c r="O636" s="246">
        <f>1/60*5</f>
        <v>8.3333333333333329E-2</v>
      </c>
      <c r="P636" s="208" t="s">
        <v>112</v>
      </c>
      <c r="Q636" s="240">
        <f t="shared" si="132"/>
        <v>109</v>
      </c>
      <c r="R636" s="239">
        <v>1</v>
      </c>
      <c r="S636" s="240">
        <f t="shared" si="133"/>
        <v>110</v>
      </c>
      <c r="T636" s="216" t="s">
        <v>48</v>
      </c>
      <c r="U636" s="196" t="str">
        <f t="shared" si="134"/>
        <v>110 Hrs</v>
      </c>
    </row>
    <row r="637" spans="3:21" s="185" customFormat="1" ht="20.25" customHeight="1">
      <c r="C637" s="198"/>
      <c r="D637" s="203">
        <f t="shared" si="130"/>
        <v>637</v>
      </c>
      <c r="E637" s="207" t="s">
        <v>676</v>
      </c>
      <c r="F637" s="211">
        <f t="shared" si="135"/>
        <v>636</v>
      </c>
      <c r="G637" s="206" t="s">
        <v>44</v>
      </c>
      <c r="H637" s="206"/>
      <c r="I637" s="224">
        <v>2.77</v>
      </c>
      <c r="J637" s="208"/>
      <c r="K637" s="234">
        <v>1308</v>
      </c>
      <c r="L637" s="208" t="s">
        <v>81</v>
      </c>
      <c r="M637" s="217">
        <v>1</v>
      </c>
      <c r="N637" s="208" t="s">
        <v>39</v>
      </c>
      <c r="O637" s="218">
        <v>8</v>
      </c>
      <c r="P637" s="208" t="s">
        <v>112</v>
      </c>
      <c r="Q637" s="240">
        <f t="shared" si="132"/>
        <v>8</v>
      </c>
      <c r="R637" s="239">
        <v>1</v>
      </c>
      <c r="S637" s="240">
        <f t="shared" si="133"/>
        <v>9</v>
      </c>
      <c r="T637" s="216" t="s">
        <v>48</v>
      </c>
      <c r="U637" s="196" t="str">
        <f t="shared" si="134"/>
        <v>9 Hrs</v>
      </c>
    </row>
    <row r="638" spans="3:21" s="185" customFormat="1" ht="20.25" customHeight="1">
      <c r="C638" s="198">
        <f t="shared" ref="C638" si="136">D638</f>
        <v>638</v>
      </c>
      <c r="D638" s="203">
        <f t="shared" si="130"/>
        <v>638</v>
      </c>
      <c r="E638" s="209" t="s">
        <v>677</v>
      </c>
      <c r="F638" s="210">
        <f>D633</f>
        <v>633</v>
      </c>
      <c r="G638" s="206"/>
      <c r="H638" s="206"/>
      <c r="I638" s="208"/>
      <c r="J638" s="208"/>
      <c r="K638" s="234"/>
      <c r="L638" s="208"/>
      <c r="M638" s="217"/>
      <c r="N638" s="208"/>
      <c r="O638" s="218"/>
      <c r="P638" s="208"/>
      <c r="Q638" s="240"/>
      <c r="R638" s="239"/>
      <c r="S638" s="240"/>
      <c r="T638" s="216"/>
      <c r="U638" s="196"/>
    </row>
    <row r="639" spans="3:21" s="185" customFormat="1" ht="20.25" customHeight="1">
      <c r="C639" s="198"/>
      <c r="D639" s="203">
        <f t="shared" si="130"/>
        <v>639</v>
      </c>
      <c r="E639" s="207" t="s">
        <v>678</v>
      </c>
      <c r="F639" s="210"/>
      <c r="G639" s="206"/>
      <c r="H639" s="206"/>
      <c r="I639" s="208"/>
      <c r="J639" s="208"/>
      <c r="K639" s="234">
        <v>1</v>
      </c>
      <c r="L639" s="208" t="s">
        <v>39</v>
      </c>
      <c r="M639" s="217">
        <v>1</v>
      </c>
      <c r="N639" s="208" t="s">
        <v>661</v>
      </c>
      <c r="O639" s="218">
        <v>4</v>
      </c>
      <c r="P639" s="208" t="s">
        <v>112</v>
      </c>
      <c r="Q639" s="240">
        <f t="shared" ref="Q639" si="137">M639*O639</f>
        <v>4</v>
      </c>
      <c r="R639" s="239">
        <v>1</v>
      </c>
      <c r="S639" s="240">
        <f t="shared" si="133"/>
        <v>5</v>
      </c>
      <c r="T639" s="216" t="s">
        <v>48</v>
      </c>
      <c r="U639" s="196" t="str">
        <f t="shared" si="134"/>
        <v>5 Hrs</v>
      </c>
    </row>
    <row r="640" spans="3:21" s="185" customFormat="1" ht="20.25" customHeight="1">
      <c r="C640" s="198"/>
      <c r="D640" s="203">
        <f t="shared" si="130"/>
        <v>640</v>
      </c>
      <c r="E640" s="207" t="s">
        <v>677</v>
      </c>
      <c r="F640" s="211">
        <f>D639</f>
        <v>639</v>
      </c>
      <c r="G640" s="206" t="s">
        <v>656</v>
      </c>
      <c r="H640" s="206"/>
      <c r="I640" s="208"/>
      <c r="J640" s="234" t="s">
        <v>407</v>
      </c>
      <c r="K640" s="234">
        <v>1</v>
      </c>
      <c r="L640" s="208" t="s">
        <v>39</v>
      </c>
      <c r="M640" s="217">
        <v>1</v>
      </c>
      <c r="N640" s="208" t="s">
        <v>661</v>
      </c>
      <c r="O640" s="218">
        <v>12</v>
      </c>
      <c r="P640" s="208" t="s">
        <v>112</v>
      </c>
      <c r="Q640" s="240">
        <f t="shared" si="132"/>
        <v>12</v>
      </c>
      <c r="R640" s="239">
        <v>1</v>
      </c>
      <c r="S640" s="240">
        <f t="shared" si="133"/>
        <v>13</v>
      </c>
      <c r="T640" s="216" t="s">
        <v>48</v>
      </c>
      <c r="U640" s="196" t="str">
        <f t="shared" si="134"/>
        <v>13 Hrs</v>
      </c>
    </row>
    <row r="641" spans="3:21" s="185" customFormat="1" ht="20.25" customHeight="1">
      <c r="C641" s="198"/>
      <c r="D641" s="203">
        <f t="shared" si="130"/>
        <v>641</v>
      </c>
      <c r="E641" s="207" t="s">
        <v>679</v>
      </c>
      <c r="F641" s="211">
        <f t="shared" si="135"/>
        <v>640</v>
      </c>
      <c r="G641" s="206" t="s">
        <v>348</v>
      </c>
      <c r="H641" s="206"/>
      <c r="I641" s="208"/>
      <c r="J641" s="234" t="str">
        <f>J640</f>
        <v>6130 lg</v>
      </c>
      <c r="K641" s="234">
        <v>1</v>
      </c>
      <c r="L641" s="208" t="s">
        <v>39</v>
      </c>
      <c r="M641" s="217">
        <v>1</v>
      </c>
      <c r="N641" s="208" t="s">
        <v>661</v>
      </c>
      <c r="O641" s="218">
        <v>1</v>
      </c>
      <c r="P641" s="208" t="s">
        <v>41</v>
      </c>
      <c r="Q641" s="240">
        <f t="shared" si="132"/>
        <v>1</v>
      </c>
      <c r="R641" s="239">
        <v>0</v>
      </c>
      <c r="S641" s="240">
        <f t="shared" si="133"/>
        <v>1</v>
      </c>
      <c r="T641" s="216" t="s">
        <v>48</v>
      </c>
      <c r="U641" s="196" t="str">
        <f t="shared" si="134"/>
        <v>1 Hrs</v>
      </c>
    </row>
    <row r="642" spans="3:21" s="185" customFormat="1" ht="20.25" customHeight="1">
      <c r="C642" s="198"/>
      <c r="D642" s="203">
        <f t="shared" si="130"/>
        <v>642</v>
      </c>
      <c r="E642" s="207" t="s">
        <v>680</v>
      </c>
      <c r="F642" s="211">
        <f t="shared" si="135"/>
        <v>641</v>
      </c>
      <c r="G642" s="206" t="s">
        <v>640</v>
      </c>
      <c r="H642" s="206"/>
      <c r="I642" s="208"/>
      <c r="J642" s="234" t="str">
        <f>J641</f>
        <v>6130 lg</v>
      </c>
      <c r="K642" s="234">
        <v>1</v>
      </c>
      <c r="L642" s="208" t="s">
        <v>39</v>
      </c>
      <c r="M642" s="217">
        <v>1</v>
      </c>
      <c r="N642" s="208" t="s">
        <v>661</v>
      </c>
      <c r="O642" s="218">
        <v>4</v>
      </c>
      <c r="P642" s="208" t="s">
        <v>112</v>
      </c>
      <c r="Q642" s="240">
        <f t="shared" si="132"/>
        <v>4</v>
      </c>
      <c r="R642" s="239">
        <v>0</v>
      </c>
      <c r="S642" s="240">
        <f t="shared" si="133"/>
        <v>4</v>
      </c>
      <c r="T642" s="216" t="s">
        <v>48</v>
      </c>
      <c r="U642" s="196" t="str">
        <f t="shared" si="134"/>
        <v>4 Hrs</v>
      </c>
    </row>
    <row r="643" spans="3:21" s="185" customFormat="1" ht="20.25" customHeight="1">
      <c r="C643" s="198">
        <f>D643</f>
        <v>643</v>
      </c>
      <c r="D643" s="203">
        <f>D642+1</f>
        <v>643</v>
      </c>
      <c r="E643" s="209" t="s">
        <v>35</v>
      </c>
      <c r="F643" s="210">
        <f>D1273</f>
        <v>1263</v>
      </c>
      <c r="G643" s="206"/>
      <c r="H643" s="206"/>
      <c r="I643" s="208"/>
      <c r="J643" s="208"/>
      <c r="K643" s="216"/>
      <c r="L643" s="208"/>
      <c r="M643" s="217"/>
      <c r="N643" s="208"/>
      <c r="O643" s="218"/>
      <c r="P643" s="208"/>
      <c r="Q643" s="208"/>
      <c r="R643" s="239"/>
      <c r="S643" s="240"/>
      <c r="T643" s="216"/>
      <c r="U643" s="196"/>
    </row>
    <row r="644" spans="3:21" s="185" customFormat="1" ht="20.25" customHeight="1">
      <c r="C644" s="198"/>
      <c r="D644" s="203">
        <f t="shared" ref="D644:D706" si="138">D643+1</f>
        <v>644</v>
      </c>
      <c r="E644" s="207" t="s">
        <v>36</v>
      </c>
      <c r="F644" s="208"/>
      <c r="G644" s="206" t="s">
        <v>37</v>
      </c>
      <c r="H644" s="206"/>
      <c r="I644" s="219">
        <v>24</v>
      </c>
      <c r="J644" s="220" t="s">
        <v>38</v>
      </c>
      <c r="K644" s="221">
        <v>1</v>
      </c>
      <c r="L644" s="220" t="s">
        <v>39</v>
      </c>
      <c r="M644" s="222">
        <v>1</v>
      </c>
      <c r="N644" s="220" t="s">
        <v>40</v>
      </c>
      <c r="O644" s="223">
        <v>4</v>
      </c>
      <c r="P644" s="220" t="s">
        <v>41</v>
      </c>
      <c r="Q644" s="240">
        <f>M644*O644</f>
        <v>4</v>
      </c>
      <c r="R644" s="241"/>
      <c r="S644" s="240">
        <f t="shared" si="133"/>
        <v>4</v>
      </c>
      <c r="T644" s="216" t="s">
        <v>42</v>
      </c>
      <c r="U644" s="196" t="str">
        <f t="shared" si="134"/>
        <v>4 Days</v>
      </c>
    </row>
    <row r="645" spans="3:21" s="185" customFormat="1" ht="20.25" customHeight="1">
      <c r="C645" s="198"/>
      <c r="D645" s="203">
        <f t="shared" si="138"/>
        <v>645</v>
      </c>
      <c r="E645" s="207" t="s">
        <v>681</v>
      </c>
      <c r="F645" s="211">
        <f t="shared" ref="F645:F658" si="139">D644</f>
        <v>644</v>
      </c>
      <c r="G645" s="206" t="s">
        <v>44</v>
      </c>
      <c r="H645" s="206"/>
      <c r="I645" s="224">
        <v>24</v>
      </c>
      <c r="J645" s="225" t="s">
        <v>45</v>
      </c>
      <c r="K645" s="226">
        <v>1</v>
      </c>
      <c r="L645" s="208" t="s">
        <v>39</v>
      </c>
      <c r="M645" s="227">
        <f>LEFT(J645,SEARCH(" ",J645,1)-1)*K645*0.001</f>
        <v>6.7229999999999999</v>
      </c>
      <c r="N645" s="228" t="s">
        <v>46</v>
      </c>
      <c r="O645" s="229">
        <f>VLOOKUP(I645,BM!$A$2:$X$104,2,FALSE)</f>
        <v>0.1</v>
      </c>
      <c r="P645" s="230" t="s">
        <v>47</v>
      </c>
      <c r="Q645" s="240">
        <f t="shared" ref="Q645" si="140">M645*O645</f>
        <v>0.67230000000000001</v>
      </c>
      <c r="R645" s="242">
        <v>1</v>
      </c>
      <c r="S645" s="240">
        <f t="shared" si="133"/>
        <v>1.67</v>
      </c>
      <c r="T645" s="243" t="s">
        <v>48</v>
      </c>
      <c r="U645" s="196" t="str">
        <f t="shared" si="134"/>
        <v>1.67 Hrs</v>
      </c>
    </row>
    <row r="646" spans="3:21" s="185" customFormat="1" ht="20.25" customHeight="1">
      <c r="C646" s="198"/>
      <c r="D646" s="203">
        <f t="shared" si="138"/>
        <v>646</v>
      </c>
      <c r="E646" s="207" t="s">
        <v>49</v>
      </c>
      <c r="F646" s="211">
        <f t="shared" si="139"/>
        <v>645</v>
      </c>
      <c r="G646" s="206" t="s">
        <v>44</v>
      </c>
      <c r="H646" s="206"/>
      <c r="I646" s="224">
        <v>24</v>
      </c>
      <c r="J646" s="211"/>
      <c r="K646" s="231">
        <v>1</v>
      </c>
      <c r="L646" s="208" t="s">
        <v>50</v>
      </c>
      <c r="M646" s="227">
        <v>1</v>
      </c>
      <c r="N646" s="208" t="s">
        <v>39</v>
      </c>
      <c r="O646" s="229">
        <v>1</v>
      </c>
      <c r="P646" s="208" t="s">
        <v>41</v>
      </c>
      <c r="Q646" s="240">
        <v>1</v>
      </c>
      <c r="R646" s="239"/>
      <c r="S646" s="240">
        <f t="shared" si="133"/>
        <v>1</v>
      </c>
      <c r="T646" s="216" t="s">
        <v>42</v>
      </c>
      <c r="U646" s="196" t="str">
        <f t="shared" si="134"/>
        <v>1 Days</v>
      </c>
    </row>
    <row r="647" spans="3:21" s="185" customFormat="1" ht="20.25" customHeight="1">
      <c r="C647" s="198"/>
      <c r="D647" s="203">
        <f t="shared" si="138"/>
        <v>647</v>
      </c>
      <c r="E647" s="207" t="s">
        <v>51</v>
      </c>
      <c r="F647" s="211">
        <f t="shared" si="139"/>
        <v>646</v>
      </c>
      <c r="G647" s="206" t="s">
        <v>52</v>
      </c>
      <c r="H647" s="206"/>
      <c r="I647" s="224">
        <v>24</v>
      </c>
      <c r="J647" s="211" t="str">
        <f>J645</f>
        <v>6723 MM</v>
      </c>
      <c r="K647" s="231">
        <v>1</v>
      </c>
      <c r="L647" s="208" t="s">
        <v>50</v>
      </c>
      <c r="M647" s="227">
        <f>LEFT(J647,SEARCH(" ",J647,1)-1)*K647*0.001</f>
        <v>6.7229999999999999</v>
      </c>
      <c r="N647" s="208" t="s">
        <v>46</v>
      </c>
      <c r="O647" s="229">
        <f>VLOOKUP(I647,BM!$A$2:$X$104,3,FALSE)</f>
        <v>0.25</v>
      </c>
      <c r="P647" s="230" t="s">
        <v>53</v>
      </c>
      <c r="Q647" s="240">
        <f t="shared" ref="Q647:Q658" si="141">M647*O647</f>
        <v>1.68075</v>
      </c>
      <c r="R647" s="242">
        <v>1</v>
      </c>
      <c r="S647" s="240">
        <f t="shared" si="133"/>
        <v>2.68</v>
      </c>
      <c r="T647" s="243" t="s">
        <v>48</v>
      </c>
      <c r="U647" s="196" t="str">
        <f t="shared" si="134"/>
        <v>2.68 Hrs</v>
      </c>
    </row>
    <row r="648" spans="3:21" s="185" customFormat="1" ht="20.25" customHeight="1">
      <c r="C648" s="198"/>
      <c r="D648" s="203">
        <f t="shared" si="138"/>
        <v>648</v>
      </c>
      <c r="E648" s="207" t="s">
        <v>54</v>
      </c>
      <c r="F648" s="211">
        <f t="shared" si="139"/>
        <v>647</v>
      </c>
      <c r="G648" s="206" t="s">
        <v>55</v>
      </c>
      <c r="H648" s="206"/>
      <c r="I648" s="224">
        <v>24</v>
      </c>
      <c r="J648" s="211" t="str">
        <f>J647</f>
        <v>6723 MM</v>
      </c>
      <c r="K648" s="231">
        <v>1</v>
      </c>
      <c r="L648" s="208" t="s">
        <v>50</v>
      </c>
      <c r="M648" s="227">
        <v>1</v>
      </c>
      <c r="N648" s="208" t="s">
        <v>39</v>
      </c>
      <c r="O648" s="232">
        <v>10</v>
      </c>
      <c r="P648" s="230" t="s">
        <v>41</v>
      </c>
      <c r="Q648" s="240">
        <f t="shared" si="141"/>
        <v>10</v>
      </c>
      <c r="R648" s="242"/>
      <c r="S648" s="240">
        <f t="shared" si="133"/>
        <v>10</v>
      </c>
      <c r="T648" s="216" t="s">
        <v>42</v>
      </c>
      <c r="U648" s="196" t="str">
        <f t="shared" si="134"/>
        <v>10 Days</v>
      </c>
    </row>
    <row r="649" spans="3:21" s="185" customFormat="1" ht="20.25" customHeight="1">
      <c r="C649" s="198"/>
      <c r="D649" s="203">
        <f t="shared" si="138"/>
        <v>649</v>
      </c>
      <c r="E649" s="207" t="s">
        <v>56</v>
      </c>
      <c r="F649" s="211">
        <f t="shared" si="139"/>
        <v>648</v>
      </c>
      <c r="G649" s="206" t="s">
        <v>44</v>
      </c>
      <c r="H649" s="206"/>
      <c r="I649" s="224">
        <v>24</v>
      </c>
      <c r="J649" s="211" t="str">
        <f t="shared" ref="J649:J655" si="142">J648</f>
        <v>6723 MM</v>
      </c>
      <c r="K649" s="231">
        <v>1</v>
      </c>
      <c r="L649" s="208" t="s">
        <v>50</v>
      </c>
      <c r="M649" s="217">
        <v>1</v>
      </c>
      <c r="N649" s="208" t="s">
        <v>39</v>
      </c>
      <c r="O649" s="232">
        <v>1</v>
      </c>
      <c r="P649" s="230" t="s">
        <v>41</v>
      </c>
      <c r="Q649" s="240">
        <f t="shared" si="141"/>
        <v>1</v>
      </c>
      <c r="R649" s="242"/>
      <c r="S649" s="240">
        <f t="shared" si="133"/>
        <v>1</v>
      </c>
      <c r="T649" s="216" t="s">
        <v>42</v>
      </c>
      <c r="U649" s="196" t="str">
        <f t="shared" si="134"/>
        <v>1 Days</v>
      </c>
    </row>
    <row r="650" spans="3:21" s="185" customFormat="1" ht="20.25" customHeight="1">
      <c r="C650" s="198"/>
      <c r="D650" s="203">
        <f t="shared" si="138"/>
        <v>650</v>
      </c>
      <c r="E650" s="207" t="s">
        <v>57</v>
      </c>
      <c r="F650" s="211">
        <f t="shared" si="139"/>
        <v>649</v>
      </c>
      <c r="G650" s="206" t="s">
        <v>55</v>
      </c>
      <c r="H650" s="206"/>
      <c r="I650" s="224">
        <v>24</v>
      </c>
      <c r="J650" s="211" t="str">
        <f t="shared" si="142"/>
        <v>6723 MM</v>
      </c>
      <c r="K650" s="231">
        <v>1</v>
      </c>
      <c r="L650" s="208" t="s">
        <v>50</v>
      </c>
      <c r="M650" s="217">
        <v>1</v>
      </c>
      <c r="N650" s="208" t="s">
        <v>39</v>
      </c>
      <c r="O650" s="232">
        <v>1</v>
      </c>
      <c r="P650" s="230" t="s">
        <v>41</v>
      </c>
      <c r="Q650" s="240">
        <f t="shared" si="141"/>
        <v>1</v>
      </c>
      <c r="R650" s="242"/>
      <c r="S650" s="240">
        <f t="shared" si="133"/>
        <v>1</v>
      </c>
      <c r="T650" s="216" t="s">
        <v>42</v>
      </c>
      <c r="U650" s="196" t="str">
        <f t="shared" si="134"/>
        <v>1 Days</v>
      </c>
    </row>
    <row r="651" spans="3:21" s="185" customFormat="1" ht="20.25" customHeight="1">
      <c r="C651" s="198"/>
      <c r="D651" s="203">
        <f t="shared" si="138"/>
        <v>651</v>
      </c>
      <c r="E651" s="207" t="s">
        <v>58</v>
      </c>
      <c r="F651" s="211">
        <f t="shared" si="139"/>
        <v>650</v>
      </c>
      <c r="G651" s="206" t="s">
        <v>55</v>
      </c>
      <c r="H651" s="206"/>
      <c r="I651" s="224">
        <v>24</v>
      </c>
      <c r="J651" s="211" t="str">
        <f t="shared" si="142"/>
        <v>6723 MM</v>
      </c>
      <c r="K651" s="231">
        <v>1</v>
      </c>
      <c r="L651" s="208" t="s">
        <v>50</v>
      </c>
      <c r="M651" s="217">
        <v>1</v>
      </c>
      <c r="N651" s="208" t="s">
        <v>39</v>
      </c>
      <c r="O651" s="232">
        <v>4</v>
      </c>
      <c r="P651" s="230" t="s">
        <v>41</v>
      </c>
      <c r="Q651" s="240">
        <f t="shared" si="141"/>
        <v>4</v>
      </c>
      <c r="R651" s="242"/>
      <c r="S651" s="240">
        <f t="shared" si="133"/>
        <v>4</v>
      </c>
      <c r="T651" s="216" t="s">
        <v>42</v>
      </c>
      <c r="U651" s="196" t="str">
        <f t="shared" si="134"/>
        <v>4 Days</v>
      </c>
    </row>
    <row r="652" spans="3:21" s="185" customFormat="1" ht="20.25" customHeight="1">
      <c r="C652" s="198"/>
      <c r="D652" s="203">
        <f t="shared" si="138"/>
        <v>652</v>
      </c>
      <c r="E652" s="207" t="s">
        <v>59</v>
      </c>
      <c r="F652" s="211">
        <f t="shared" si="139"/>
        <v>651</v>
      </c>
      <c r="G652" s="206" t="s">
        <v>44</v>
      </c>
      <c r="H652" s="206"/>
      <c r="I652" s="224">
        <v>24</v>
      </c>
      <c r="J652" s="211" t="str">
        <f t="shared" si="142"/>
        <v>6723 MM</v>
      </c>
      <c r="K652" s="231">
        <v>1</v>
      </c>
      <c r="L652" s="208" t="s">
        <v>50</v>
      </c>
      <c r="M652" s="217">
        <v>1</v>
      </c>
      <c r="N652" s="208" t="s">
        <v>39</v>
      </c>
      <c r="O652" s="232">
        <v>1</v>
      </c>
      <c r="P652" s="230" t="s">
        <v>41</v>
      </c>
      <c r="Q652" s="240">
        <f t="shared" si="141"/>
        <v>1</v>
      </c>
      <c r="R652" s="242"/>
      <c r="S652" s="240">
        <f t="shared" si="133"/>
        <v>1</v>
      </c>
      <c r="T652" s="216" t="s">
        <v>42</v>
      </c>
      <c r="U652" s="196" t="str">
        <f t="shared" si="134"/>
        <v>1 Days</v>
      </c>
    </row>
    <row r="653" spans="3:21" s="185" customFormat="1" ht="20.25" customHeight="1">
      <c r="C653" s="198"/>
      <c r="D653" s="203">
        <f t="shared" si="138"/>
        <v>653</v>
      </c>
      <c r="E653" s="207" t="s">
        <v>60</v>
      </c>
      <c r="F653" s="211">
        <f t="shared" si="139"/>
        <v>652</v>
      </c>
      <c r="G653" s="206" t="s">
        <v>61</v>
      </c>
      <c r="H653" s="206"/>
      <c r="I653" s="224">
        <v>24</v>
      </c>
      <c r="J653" s="211" t="str">
        <f t="shared" si="142"/>
        <v>6723 MM</v>
      </c>
      <c r="K653" s="231">
        <v>1</v>
      </c>
      <c r="L653" s="208" t="s">
        <v>50</v>
      </c>
      <c r="M653" s="217">
        <v>1</v>
      </c>
      <c r="N653" s="208" t="s">
        <v>39</v>
      </c>
      <c r="O653" s="232">
        <v>1</v>
      </c>
      <c r="P653" s="230" t="s">
        <v>41</v>
      </c>
      <c r="Q653" s="240">
        <f t="shared" si="141"/>
        <v>1</v>
      </c>
      <c r="R653" s="242">
        <v>1</v>
      </c>
      <c r="S653" s="240">
        <f t="shared" si="133"/>
        <v>2</v>
      </c>
      <c r="T653" s="216" t="s">
        <v>42</v>
      </c>
      <c r="U653" s="196" t="str">
        <f t="shared" si="134"/>
        <v>2 Days</v>
      </c>
    </row>
    <row r="654" spans="3:21" s="185" customFormat="1" ht="20.25" customHeight="1">
      <c r="C654" s="198"/>
      <c r="D654" s="203">
        <f t="shared" si="138"/>
        <v>654</v>
      </c>
      <c r="E654" s="207" t="s">
        <v>62</v>
      </c>
      <c r="F654" s="211">
        <f t="shared" si="139"/>
        <v>653</v>
      </c>
      <c r="G654" s="206" t="s">
        <v>63</v>
      </c>
      <c r="H654" s="206"/>
      <c r="I654" s="224">
        <v>24</v>
      </c>
      <c r="J654" s="211" t="str">
        <f t="shared" si="142"/>
        <v>6723 MM</v>
      </c>
      <c r="K654" s="231">
        <v>1</v>
      </c>
      <c r="L654" s="208" t="s">
        <v>50</v>
      </c>
      <c r="M654" s="217">
        <v>1</v>
      </c>
      <c r="N654" s="208" t="s">
        <v>39</v>
      </c>
      <c r="O654" s="232">
        <v>1</v>
      </c>
      <c r="P654" s="230" t="s">
        <v>41</v>
      </c>
      <c r="Q654" s="240">
        <f t="shared" si="141"/>
        <v>1</v>
      </c>
      <c r="R654" s="242"/>
      <c r="S654" s="240">
        <f t="shared" si="133"/>
        <v>1</v>
      </c>
      <c r="T654" s="216" t="s">
        <v>42</v>
      </c>
      <c r="U654" s="196" t="str">
        <f t="shared" si="134"/>
        <v>1 Days</v>
      </c>
    </row>
    <row r="655" spans="3:21" s="185" customFormat="1" ht="20.25" customHeight="1">
      <c r="C655" s="198"/>
      <c r="D655" s="203">
        <f t="shared" si="138"/>
        <v>655</v>
      </c>
      <c r="E655" s="207" t="s">
        <v>64</v>
      </c>
      <c r="F655" s="211">
        <f t="shared" si="139"/>
        <v>654</v>
      </c>
      <c r="G655" s="206" t="s">
        <v>63</v>
      </c>
      <c r="H655" s="206"/>
      <c r="I655" s="224">
        <v>24</v>
      </c>
      <c r="J655" s="211" t="str">
        <f t="shared" si="142"/>
        <v>6723 MM</v>
      </c>
      <c r="K655" s="231">
        <v>1</v>
      </c>
      <c r="L655" s="208" t="s">
        <v>50</v>
      </c>
      <c r="M655" s="217">
        <v>1</v>
      </c>
      <c r="N655" s="208" t="s">
        <v>39</v>
      </c>
      <c r="O655" s="232">
        <v>1</v>
      </c>
      <c r="P655" s="230" t="s">
        <v>41</v>
      </c>
      <c r="Q655" s="240">
        <f t="shared" si="141"/>
        <v>1</v>
      </c>
      <c r="R655" s="242"/>
      <c r="S655" s="240">
        <f t="shared" si="133"/>
        <v>1</v>
      </c>
      <c r="T655" s="216" t="s">
        <v>42</v>
      </c>
      <c r="U655" s="196" t="str">
        <f t="shared" si="134"/>
        <v>1 Days</v>
      </c>
    </row>
    <row r="656" spans="3:21" s="185" customFormat="1" ht="20.25" customHeight="1">
      <c r="C656" s="198"/>
      <c r="D656" s="203">
        <f t="shared" si="138"/>
        <v>656</v>
      </c>
      <c r="E656" s="207" t="s">
        <v>682</v>
      </c>
      <c r="F656" s="211">
        <f t="shared" si="139"/>
        <v>655</v>
      </c>
      <c r="G656" s="206" t="s">
        <v>44</v>
      </c>
      <c r="H656" s="206" t="s">
        <v>66</v>
      </c>
      <c r="I656" s="224">
        <v>24</v>
      </c>
      <c r="J656" s="225" t="s">
        <v>67</v>
      </c>
      <c r="K656" s="231">
        <v>1</v>
      </c>
      <c r="L656" s="208" t="s">
        <v>50</v>
      </c>
      <c r="M656" s="227">
        <f>LEFT(J656,SEARCH(" ",J656,1)-1)*K656*0.001*3.142</f>
        <v>5.3162639999999994</v>
      </c>
      <c r="N656" s="208" t="s">
        <v>68</v>
      </c>
      <c r="O656" s="229">
        <f>VLOOKUP(I656,BM!$A$2:$X$104,2,FALSE)</f>
        <v>0.1</v>
      </c>
      <c r="P656" s="230" t="s">
        <v>53</v>
      </c>
      <c r="Q656" s="240">
        <f t="shared" si="141"/>
        <v>0.53162639999999994</v>
      </c>
      <c r="R656" s="242">
        <v>1</v>
      </c>
      <c r="S656" s="240">
        <f t="shared" si="133"/>
        <v>1.53</v>
      </c>
      <c r="T656" s="243" t="s">
        <v>48</v>
      </c>
      <c r="U656" s="196" t="str">
        <f t="shared" si="134"/>
        <v>1.53 Hrs</v>
      </c>
    </row>
    <row r="657" spans="3:21" s="185" customFormat="1" ht="20.25" customHeight="1">
      <c r="C657" s="198"/>
      <c r="D657" s="203">
        <f t="shared" si="138"/>
        <v>657</v>
      </c>
      <c r="E657" s="207" t="s">
        <v>683</v>
      </c>
      <c r="F657" s="211">
        <f t="shared" si="139"/>
        <v>656</v>
      </c>
      <c r="G657" s="206" t="s">
        <v>52</v>
      </c>
      <c r="H657" s="206"/>
      <c r="I657" s="224">
        <v>24</v>
      </c>
      <c r="J657" s="211" t="str">
        <f>J656</f>
        <v>1692 od</v>
      </c>
      <c r="K657" s="231">
        <v>1</v>
      </c>
      <c r="L657" s="208" t="s">
        <v>50</v>
      </c>
      <c r="M657" s="227">
        <f>LEFT(J657,SEARCH(" ",J657,1)-1)*K657*0.001*3.142</f>
        <v>5.3162639999999994</v>
      </c>
      <c r="N657" s="208" t="s">
        <v>68</v>
      </c>
      <c r="O657" s="229">
        <f>VLOOKUP(I657,BM!$A$2:$X$104,15,FALSE)</f>
        <v>1</v>
      </c>
      <c r="P657" s="230" t="s">
        <v>53</v>
      </c>
      <c r="Q657" s="240">
        <f t="shared" si="141"/>
        <v>5.3162639999999994</v>
      </c>
      <c r="R657" s="242">
        <v>1</v>
      </c>
      <c r="S657" s="240">
        <f t="shared" si="133"/>
        <v>6.32</v>
      </c>
      <c r="T657" s="243" t="s">
        <v>48</v>
      </c>
      <c r="U657" s="196" t="str">
        <f t="shared" si="134"/>
        <v>6.32 Hrs</v>
      </c>
    </row>
    <row r="658" spans="3:21" s="185" customFormat="1" ht="20.25" customHeight="1">
      <c r="C658" s="198"/>
      <c r="D658" s="203">
        <f t="shared" si="138"/>
        <v>658</v>
      </c>
      <c r="E658" s="207" t="s">
        <v>684</v>
      </c>
      <c r="F658" s="211">
        <f t="shared" si="139"/>
        <v>657</v>
      </c>
      <c r="G658" s="206" t="s">
        <v>61</v>
      </c>
      <c r="H658" s="206"/>
      <c r="I658" s="224">
        <v>24</v>
      </c>
      <c r="J658" s="211" t="str">
        <f>J657</f>
        <v>1692 od</v>
      </c>
      <c r="K658" s="231">
        <v>1</v>
      </c>
      <c r="L658" s="208" t="s">
        <v>50</v>
      </c>
      <c r="M658" s="227">
        <f>LEFT(J658,SEARCH(" ",J658,1)-1)*K658*0.001*3.142</f>
        <v>5.3162639999999994</v>
      </c>
      <c r="N658" s="208" t="s">
        <v>68</v>
      </c>
      <c r="O658" s="229">
        <f>VLOOKUP(I658,BM!$A$2:$X$104,6,FALSE)</f>
        <v>1</v>
      </c>
      <c r="P658" s="230" t="s">
        <v>53</v>
      </c>
      <c r="Q658" s="240">
        <f t="shared" si="141"/>
        <v>5.3162639999999994</v>
      </c>
      <c r="R658" s="242"/>
      <c r="S658" s="240">
        <f t="shared" si="133"/>
        <v>5.32</v>
      </c>
      <c r="T658" s="243" t="s">
        <v>48</v>
      </c>
      <c r="U658" s="196" t="str">
        <f t="shared" si="134"/>
        <v>5.32 Hrs</v>
      </c>
    </row>
    <row r="659" spans="3:21" s="185" customFormat="1" ht="20.25" customHeight="1">
      <c r="C659" s="198">
        <f t="shared" ref="C659:C660" si="143">D659</f>
        <v>659</v>
      </c>
      <c r="D659" s="203">
        <f t="shared" si="138"/>
        <v>659</v>
      </c>
      <c r="E659" s="204" t="s">
        <v>71</v>
      </c>
      <c r="F659" s="205"/>
      <c r="G659" s="206"/>
      <c r="H659" s="206"/>
      <c r="I659" s="208"/>
      <c r="J659" s="208"/>
      <c r="K659" s="231"/>
      <c r="L659" s="208"/>
      <c r="M659" s="217"/>
      <c r="N659" s="208"/>
      <c r="O659" s="232"/>
      <c r="P659" s="230"/>
      <c r="Q659" s="240"/>
      <c r="R659" s="242"/>
      <c r="S659" s="240"/>
      <c r="T659" s="243"/>
      <c r="U659" s="196"/>
    </row>
    <row r="660" spans="3:21" s="185" customFormat="1" ht="20.25" customHeight="1">
      <c r="C660" s="198">
        <f t="shared" si="143"/>
        <v>660</v>
      </c>
      <c r="D660" s="203">
        <f t="shared" si="138"/>
        <v>660</v>
      </c>
      <c r="E660" s="204" t="s">
        <v>685</v>
      </c>
      <c r="F660" s="210">
        <f>D1274</f>
        <v>1264</v>
      </c>
      <c r="G660" s="206"/>
      <c r="H660" s="206"/>
      <c r="I660" s="208"/>
      <c r="J660" s="208"/>
      <c r="K660" s="231"/>
      <c r="L660" s="208"/>
      <c r="M660" s="217"/>
      <c r="N660" s="208"/>
      <c r="O660" s="232"/>
      <c r="P660" s="230"/>
      <c r="Q660" s="240"/>
      <c r="R660" s="242"/>
      <c r="S660" s="240"/>
      <c r="T660" s="243"/>
      <c r="U660" s="196"/>
    </row>
    <row r="661" spans="3:21" s="185" customFormat="1" ht="20.25" customHeight="1">
      <c r="C661" s="198"/>
      <c r="D661" s="203">
        <f t="shared" si="138"/>
        <v>661</v>
      </c>
      <c r="E661" s="207" t="s">
        <v>686</v>
      </c>
      <c r="F661" s="208"/>
      <c r="G661" s="206"/>
      <c r="H661" s="206" t="s">
        <v>66</v>
      </c>
      <c r="I661" s="224" t="s">
        <v>74</v>
      </c>
      <c r="J661" s="208" t="str">
        <f>J658</f>
        <v>1692 od</v>
      </c>
      <c r="K661" s="231">
        <v>1</v>
      </c>
      <c r="L661" s="208" t="s">
        <v>39</v>
      </c>
      <c r="M661" s="217">
        <v>1</v>
      </c>
      <c r="N661" s="208" t="s">
        <v>50</v>
      </c>
      <c r="O661" s="232">
        <v>2</v>
      </c>
      <c r="P661" s="230" t="s">
        <v>41</v>
      </c>
      <c r="Q661" s="240">
        <f t="shared" ref="Q661:Q662" si="144">M661*O661</f>
        <v>2</v>
      </c>
      <c r="R661" s="242"/>
      <c r="S661" s="240">
        <f t="shared" si="133"/>
        <v>2</v>
      </c>
      <c r="T661" s="216" t="s">
        <v>42</v>
      </c>
      <c r="U661" s="196" t="str">
        <f t="shared" si="134"/>
        <v>2 Days</v>
      </c>
    </row>
    <row r="662" spans="3:21" s="185" customFormat="1" ht="20.25" customHeight="1">
      <c r="C662" s="198"/>
      <c r="D662" s="203">
        <f t="shared" si="138"/>
        <v>662</v>
      </c>
      <c r="E662" s="207" t="s">
        <v>687</v>
      </c>
      <c r="F662" s="211">
        <f>D661</f>
        <v>661</v>
      </c>
      <c r="G662" s="206" t="s">
        <v>55</v>
      </c>
      <c r="H662" s="206"/>
      <c r="I662" s="233" t="str">
        <f>I661</f>
        <v>145 t</v>
      </c>
      <c r="J662" s="208" t="str">
        <f>J661</f>
        <v>1692 od</v>
      </c>
      <c r="K662" s="231">
        <v>1</v>
      </c>
      <c r="L662" s="208" t="s">
        <v>39</v>
      </c>
      <c r="M662" s="217">
        <v>1</v>
      </c>
      <c r="N662" s="208" t="s">
        <v>50</v>
      </c>
      <c r="O662" s="232">
        <v>5</v>
      </c>
      <c r="P662" s="230" t="s">
        <v>41</v>
      </c>
      <c r="Q662" s="240">
        <f t="shared" si="144"/>
        <v>5</v>
      </c>
      <c r="R662" s="242"/>
      <c r="S662" s="240">
        <f t="shared" si="133"/>
        <v>5</v>
      </c>
      <c r="T662" s="216" t="s">
        <v>42</v>
      </c>
      <c r="U662" s="196" t="str">
        <f t="shared" si="134"/>
        <v>5 Days</v>
      </c>
    </row>
    <row r="663" spans="3:21" s="185" customFormat="1" ht="20.25" customHeight="1">
      <c r="C663" s="198">
        <f>D663</f>
        <v>663</v>
      </c>
      <c r="D663" s="203">
        <f t="shared" si="138"/>
        <v>663</v>
      </c>
      <c r="E663" s="204" t="s">
        <v>76</v>
      </c>
      <c r="F663" s="210">
        <f>D660</f>
        <v>660</v>
      </c>
      <c r="G663" s="206"/>
      <c r="H663" s="206"/>
      <c r="I663" s="208"/>
      <c r="J663" s="208"/>
      <c r="K663" s="231"/>
      <c r="L663" s="208"/>
      <c r="M663" s="217"/>
      <c r="N663" s="208"/>
      <c r="O663" s="232"/>
      <c r="P663" s="230"/>
      <c r="Q663" s="240"/>
      <c r="R663" s="242"/>
      <c r="S663" s="240"/>
      <c r="T663" s="243"/>
      <c r="U663" s="196"/>
    </row>
    <row r="664" spans="3:21" s="185" customFormat="1" ht="20.25" customHeight="1">
      <c r="C664" s="198"/>
      <c r="D664" s="203">
        <f t="shared" si="138"/>
        <v>664</v>
      </c>
      <c r="E664" s="207" t="s">
        <v>77</v>
      </c>
      <c r="F664" s="211"/>
      <c r="G664" s="206" t="s">
        <v>55</v>
      </c>
      <c r="H664" s="206"/>
      <c r="I664" s="224" t="str">
        <f>I661</f>
        <v>145 t</v>
      </c>
      <c r="J664" s="234" t="s">
        <v>78</v>
      </c>
      <c r="K664" s="231">
        <v>1</v>
      </c>
      <c r="L664" s="208" t="s">
        <v>39</v>
      </c>
      <c r="M664" s="227">
        <f>LEFT(J664,SEARCH(" ",J664,1)-1)*LEFT(I664,SEARCH(" ",I664,1)-1)*K664/1000</f>
        <v>189.66</v>
      </c>
      <c r="N664" s="208" t="s">
        <v>79</v>
      </c>
      <c r="O664" s="229">
        <f>1/1.5^1</f>
        <v>0.66666666666666663</v>
      </c>
      <c r="P664" s="230" t="s">
        <v>47</v>
      </c>
      <c r="Q664" s="240">
        <f>M664*O664/24</f>
        <v>5.2683333333333335</v>
      </c>
      <c r="R664" s="242"/>
      <c r="S664" s="240">
        <f t="shared" si="133"/>
        <v>5.27</v>
      </c>
      <c r="T664" s="216" t="s">
        <v>42</v>
      </c>
      <c r="U664" s="196" t="str">
        <f t="shared" si="134"/>
        <v>5.27 Days</v>
      </c>
    </row>
    <row r="665" spans="3:21" s="185" customFormat="1" ht="20.25" customHeight="1">
      <c r="C665" s="198"/>
      <c r="D665" s="203">
        <f t="shared" si="138"/>
        <v>665</v>
      </c>
      <c r="E665" s="207" t="s">
        <v>80</v>
      </c>
      <c r="F665" s="211">
        <f t="shared" ref="F665:F669" si="145">D664</f>
        <v>664</v>
      </c>
      <c r="G665" s="206" t="s">
        <v>55</v>
      </c>
      <c r="H665" s="206"/>
      <c r="I665" s="224" t="str">
        <f>I661</f>
        <v>145 t</v>
      </c>
      <c r="J665" s="208" t="str">
        <f>J664</f>
        <v>1308 holes</v>
      </c>
      <c r="K665" s="231">
        <v>1</v>
      </c>
      <c r="L665" s="208" t="s">
        <v>40</v>
      </c>
      <c r="M665" s="227" t="str">
        <f>LEFT(J665,SEARCH(" ",J665,1)-1)</f>
        <v>1308</v>
      </c>
      <c r="N665" s="208" t="s">
        <v>81</v>
      </c>
      <c r="O665" s="229">
        <f>1/60*5</f>
        <v>8.3333333333333329E-2</v>
      </c>
      <c r="P665" s="230" t="s">
        <v>47</v>
      </c>
      <c r="Q665" s="240">
        <f>M665*O665/24</f>
        <v>4.541666666666667</v>
      </c>
      <c r="R665" s="242"/>
      <c r="S665" s="240">
        <f t="shared" si="133"/>
        <v>4.54</v>
      </c>
      <c r="T665" s="216" t="s">
        <v>42</v>
      </c>
      <c r="U665" s="196" t="str">
        <f t="shared" si="134"/>
        <v>4.54 Days</v>
      </c>
    </row>
    <row r="666" spans="3:21" s="185" customFormat="1" ht="20.25" customHeight="1">
      <c r="C666" s="198"/>
      <c r="D666" s="203">
        <f t="shared" si="138"/>
        <v>666</v>
      </c>
      <c r="E666" s="207" t="s">
        <v>82</v>
      </c>
      <c r="F666" s="211">
        <f t="shared" si="145"/>
        <v>665</v>
      </c>
      <c r="G666" s="206" t="s">
        <v>55</v>
      </c>
      <c r="H666" s="206"/>
      <c r="I666" s="224" t="str">
        <f>I661</f>
        <v>145 t</v>
      </c>
      <c r="J666" s="208"/>
      <c r="K666" s="231">
        <v>1</v>
      </c>
      <c r="L666" s="208" t="s">
        <v>83</v>
      </c>
      <c r="M666" s="235">
        <v>1</v>
      </c>
      <c r="N666" s="208" t="s">
        <v>84</v>
      </c>
      <c r="O666" s="229">
        <v>1</v>
      </c>
      <c r="P666" s="230" t="s">
        <v>41</v>
      </c>
      <c r="Q666" s="240">
        <f>M666*O666</f>
        <v>1</v>
      </c>
      <c r="R666" s="242"/>
      <c r="S666" s="240">
        <f t="shared" si="133"/>
        <v>1</v>
      </c>
      <c r="T666" s="216" t="s">
        <v>42</v>
      </c>
      <c r="U666" s="196" t="str">
        <f t="shared" si="134"/>
        <v>1 Days</v>
      </c>
    </row>
    <row r="667" spans="3:21" s="185" customFormat="1" ht="20.25" customHeight="1">
      <c r="C667" s="198"/>
      <c r="D667" s="203">
        <f t="shared" si="138"/>
        <v>667</v>
      </c>
      <c r="E667" s="207" t="s">
        <v>85</v>
      </c>
      <c r="F667" s="211">
        <f t="shared" si="145"/>
        <v>666</v>
      </c>
      <c r="G667" s="206" t="s">
        <v>55</v>
      </c>
      <c r="H667" s="206"/>
      <c r="I667" s="224" t="str">
        <f>I661</f>
        <v>145 t</v>
      </c>
      <c r="J667" s="208"/>
      <c r="K667" s="231">
        <v>1</v>
      </c>
      <c r="L667" s="208" t="s">
        <v>83</v>
      </c>
      <c r="M667" s="217">
        <v>1</v>
      </c>
      <c r="N667" s="208" t="s">
        <v>84</v>
      </c>
      <c r="O667" s="232">
        <v>4</v>
      </c>
      <c r="P667" s="230" t="s">
        <v>41</v>
      </c>
      <c r="Q667" s="240">
        <f t="shared" ref="Q667:Q668" si="146">M667*O667</f>
        <v>4</v>
      </c>
      <c r="R667" s="242"/>
      <c r="S667" s="240">
        <f t="shared" si="133"/>
        <v>4</v>
      </c>
      <c r="T667" s="216" t="s">
        <v>42</v>
      </c>
      <c r="U667" s="196" t="str">
        <f t="shared" si="134"/>
        <v>4 Days</v>
      </c>
    </row>
    <row r="668" spans="3:21" s="185" customFormat="1" ht="20.25" customHeight="1">
      <c r="C668" s="198"/>
      <c r="D668" s="203">
        <f t="shared" si="138"/>
        <v>668</v>
      </c>
      <c r="E668" s="207" t="s">
        <v>86</v>
      </c>
      <c r="F668" s="211">
        <f t="shared" si="145"/>
        <v>667</v>
      </c>
      <c r="G668" s="206" t="s">
        <v>44</v>
      </c>
      <c r="H668" s="206"/>
      <c r="I668" s="224" t="str">
        <f>I661</f>
        <v>145 t</v>
      </c>
      <c r="J668" s="208" t="str">
        <f>J665</f>
        <v>1308 holes</v>
      </c>
      <c r="K668" s="231">
        <v>1</v>
      </c>
      <c r="L668" s="208" t="s">
        <v>40</v>
      </c>
      <c r="M668" s="227" t="str">
        <f>LEFT(J668,SEARCH(" ",J668,1)-1)</f>
        <v>1308</v>
      </c>
      <c r="N668" s="208" t="s">
        <v>40</v>
      </c>
      <c r="O668" s="229">
        <f>1/60*3</f>
        <v>0.05</v>
      </c>
      <c r="P668" s="230" t="s">
        <v>87</v>
      </c>
      <c r="Q668" s="240">
        <f t="shared" si="146"/>
        <v>65.400000000000006</v>
      </c>
      <c r="R668" s="242"/>
      <c r="S668" s="240">
        <f t="shared" si="133"/>
        <v>65.400000000000006</v>
      </c>
      <c r="T668" s="243" t="s">
        <v>48</v>
      </c>
      <c r="U668" s="196" t="str">
        <f t="shared" ref="U668:U730" si="147">CONCATENATE(S668," ",T668)</f>
        <v>65.4 Hrs</v>
      </c>
    </row>
    <row r="669" spans="3:21" s="185" customFormat="1" ht="20.25" customHeight="1">
      <c r="C669" s="198"/>
      <c r="D669" s="203">
        <f t="shared" si="138"/>
        <v>669</v>
      </c>
      <c r="E669" s="207" t="s">
        <v>88</v>
      </c>
      <c r="F669" s="211">
        <f t="shared" si="145"/>
        <v>668</v>
      </c>
      <c r="G669" s="206" t="s">
        <v>44</v>
      </c>
      <c r="H669" s="206"/>
      <c r="I669" s="208"/>
      <c r="J669" s="208"/>
      <c r="K669" s="231"/>
      <c r="L669" s="208"/>
      <c r="M669" s="217"/>
      <c r="N669" s="208"/>
      <c r="O669" s="232"/>
      <c r="P669" s="230"/>
      <c r="Q669" s="240"/>
      <c r="R669" s="242"/>
      <c r="S669" s="240"/>
      <c r="T669" s="243"/>
      <c r="U669" s="196"/>
    </row>
    <row r="670" spans="3:21" s="185" customFormat="1" ht="20.25" customHeight="1">
      <c r="C670" s="198">
        <f>D670</f>
        <v>670</v>
      </c>
      <c r="D670" s="203">
        <f t="shared" si="138"/>
        <v>670</v>
      </c>
      <c r="E670" s="204" t="s">
        <v>89</v>
      </c>
      <c r="F670" s="210">
        <f>D1274</f>
        <v>1264</v>
      </c>
      <c r="G670" s="206"/>
      <c r="H670" s="206"/>
      <c r="I670" s="208"/>
      <c r="J670" s="208"/>
      <c r="K670" s="231"/>
      <c r="L670" s="208"/>
      <c r="M670" s="217"/>
      <c r="N670" s="208"/>
      <c r="O670" s="232"/>
      <c r="P670" s="230"/>
      <c r="Q670" s="240"/>
      <c r="R670" s="242"/>
      <c r="S670" s="240"/>
      <c r="T670" s="243"/>
      <c r="U670" s="196"/>
    </row>
    <row r="671" spans="3:21" s="185" customFormat="1" ht="20.25" customHeight="1">
      <c r="C671" s="198"/>
      <c r="D671" s="203">
        <f t="shared" si="138"/>
        <v>671</v>
      </c>
      <c r="E671" s="207" t="s">
        <v>73</v>
      </c>
      <c r="F671" s="211"/>
      <c r="G671" s="206"/>
      <c r="H671" s="206"/>
      <c r="I671" s="224" t="s">
        <v>74</v>
      </c>
      <c r="J671" s="234" t="s">
        <v>90</v>
      </c>
      <c r="K671" s="231">
        <v>1</v>
      </c>
      <c r="L671" s="208" t="s">
        <v>39</v>
      </c>
      <c r="M671" s="217">
        <v>1</v>
      </c>
      <c r="N671" s="208" t="s">
        <v>50</v>
      </c>
      <c r="O671" s="232">
        <v>2</v>
      </c>
      <c r="P671" s="230" t="s">
        <v>41</v>
      </c>
      <c r="Q671" s="240">
        <f t="shared" ref="Q671:Q672" si="148">M671*O671</f>
        <v>2</v>
      </c>
      <c r="R671" s="242"/>
      <c r="S671" s="240">
        <f t="shared" ref="S671:S732" si="149">ROUND(Q671+R671,2)</f>
        <v>2</v>
      </c>
      <c r="T671" s="216" t="s">
        <v>42</v>
      </c>
      <c r="U671" s="196" t="str">
        <f t="shared" si="147"/>
        <v>2 Days</v>
      </c>
    </row>
    <row r="672" spans="3:21" s="185" customFormat="1" ht="20.25" customHeight="1">
      <c r="C672" s="198"/>
      <c r="D672" s="203">
        <f t="shared" si="138"/>
        <v>672</v>
      </c>
      <c r="E672" s="207" t="s">
        <v>91</v>
      </c>
      <c r="F672" s="211">
        <f>D671</f>
        <v>671</v>
      </c>
      <c r="G672" s="206" t="s">
        <v>55</v>
      </c>
      <c r="H672" s="206"/>
      <c r="I672" s="233" t="str">
        <f>I671</f>
        <v>145 t</v>
      </c>
      <c r="J672" s="234" t="s">
        <v>92</v>
      </c>
      <c r="K672" s="231">
        <v>1</v>
      </c>
      <c r="L672" s="208" t="s">
        <v>39</v>
      </c>
      <c r="M672" s="217">
        <v>1</v>
      </c>
      <c r="N672" s="208" t="s">
        <v>50</v>
      </c>
      <c r="O672" s="232">
        <v>5</v>
      </c>
      <c r="P672" s="230" t="s">
        <v>41</v>
      </c>
      <c r="Q672" s="240">
        <f t="shared" si="148"/>
        <v>5</v>
      </c>
      <c r="R672" s="242"/>
      <c r="S672" s="240">
        <f t="shared" si="149"/>
        <v>5</v>
      </c>
      <c r="T672" s="216" t="s">
        <v>42</v>
      </c>
      <c r="U672" s="196" t="str">
        <f t="shared" si="147"/>
        <v>5 Days</v>
      </c>
    </row>
    <row r="673" spans="3:21" s="185" customFormat="1" ht="20.25" customHeight="1">
      <c r="C673" s="198">
        <f>D673</f>
        <v>673</v>
      </c>
      <c r="D673" s="203">
        <f t="shared" si="138"/>
        <v>673</v>
      </c>
      <c r="E673" s="204" t="s">
        <v>93</v>
      </c>
      <c r="F673" s="210"/>
      <c r="G673" s="206"/>
      <c r="H673" s="206"/>
      <c r="I673" s="208"/>
      <c r="J673" s="208"/>
      <c r="K673" s="231"/>
      <c r="L673" s="208"/>
      <c r="M673" s="217"/>
      <c r="N673" s="208"/>
      <c r="O673" s="232"/>
      <c r="P673" s="230"/>
      <c r="Q673" s="240"/>
      <c r="R673" s="242"/>
      <c r="S673" s="240"/>
      <c r="T673" s="243"/>
      <c r="U673" s="196"/>
    </row>
    <row r="674" spans="3:21" s="185" customFormat="1" ht="20.25" customHeight="1">
      <c r="C674" s="198"/>
      <c r="D674" s="203">
        <f t="shared" si="138"/>
        <v>674</v>
      </c>
      <c r="E674" s="207" t="s">
        <v>94</v>
      </c>
      <c r="F674" s="211"/>
      <c r="G674" s="206" t="s">
        <v>55</v>
      </c>
      <c r="H674" s="206"/>
      <c r="I674" s="224" t="str">
        <f>I671</f>
        <v>145 t</v>
      </c>
      <c r="J674" s="208" t="str">
        <f>J664</f>
        <v>1308 holes</v>
      </c>
      <c r="K674" s="231">
        <v>1</v>
      </c>
      <c r="L674" s="208" t="s">
        <v>39</v>
      </c>
      <c r="M674" s="227">
        <f>LEFT(J674,SEARCH(" ",J674,1)-1)*LEFT(I674,SEARCH(" ",I674,1)-1)*K674/1000</f>
        <v>189.66</v>
      </c>
      <c r="N674" s="208" t="s">
        <v>79</v>
      </c>
      <c r="O674" s="229">
        <f>1/1.5^1</f>
        <v>0.66666666666666663</v>
      </c>
      <c r="P674" s="230" t="s">
        <v>47</v>
      </c>
      <c r="Q674" s="240">
        <f>M674*O674/24</f>
        <v>5.2683333333333335</v>
      </c>
      <c r="R674" s="242"/>
      <c r="S674" s="240">
        <f t="shared" si="149"/>
        <v>5.27</v>
      </c>
      <c r="T674" s="216" t="s">
        <v>42</v>
      </c>
      <c r="U674" s="196" t="str">
        <f t="shared" si="147"/>
        <v>5.27 Days</v>
      </c>
    </row>
    <row r="675" spans="3:21" s="185" customFormat="1" ht="20.25" customHeight="1">
      <c r="C675" s="198"/>
      <c r="D675" s="203">
        <f t="shared" si="138"/>
        <v>675</v>
      </c>
      <c r="E675" s="207" t="s">
        <v>688</v>
      </c>
      <c r="F675" s="211">
        <f>D674</f>
        <v>674</v>
      </c>
      <c r="G675" s="206" t="s">
        <v>55</v>
      </c>
      <c r="H675" s="206"/>
      <c r="I675" s="224" t="str">
        <f>I671</f>
        <v>145 t</v>
      </c>
      <c r="J675" s="208" t="str">
        <f>J674</f>
        <v>1308 holes</v>
      </c>
      <c r="K675" s="231">
        <v>1</v>
      </c>
      <c r="L675" s="208" t="s">
        <v>40</v>
      </c>
      <c r="M675" s="227" t="str">
        <f>LEFT(J675,SEARCH(" ",J675,1)-1)</f>
        <v>1308</v>
      </c>
      <c r="N675" s="208" t="s">
        <v>81</v>
      </c>
      <c r="O675" s="229">
        <f>1/60*5</f>
        <v>8.3333333333333329E-2</v>
      </c>
      <c r="P675" s="230" t="s">
        <v>47</v>
      </c>
      <c r="Q675" s="240">
        <f>M675*O675/24</f>
        <v>4.541666666666667</v>
      </c>
      <c r="R675" s="242"/>
      <c r="S675" s="240">
        <f t="shared" si="149"/>
        <v>4.54</v>
      </c>
      <c r="T675" s="216" t="s">
        <v>42</v>
      </c>
      <c r="U675" s="196" t="str">
        <f t="shared" si="147"/>
        <v>4.54 Days</v>
      </c>
    </row>
    <row r="676" spans="3:21" s="185" customFormat="1" ht="20.25" customHeight="1">
      <c r="C676" s="198"/>
      <c r="D676" s="203">
        <f t="shared" si="138"/>
        <v>676</v>
      </c>
      <c r="E676" s="207" t="s">
        <v>689</v>
      </c>
      <c r="F676" s="211">
        <f>D675</f>
        <v>675</v>
      </c>
      <c r="G676" s="206" t="s">
        <v>55</v>
      </c>
      <c r="H676" s="206"/>
      <c r="I676" s="224" t="str">
        <f>I671</f>
        <v>145 t</v>
      </c>
      <c r="J676" s="208"/>
      <c r="K676" s="231">
        <v>1</v>
      </c>
      <c r="L676" s="208" t="s">
        <v>83</v>
      </c>
      <c r="M676" s="235">
        <v>1</v>
      </c>
      <c r="N676" s="208" t="s">
        <v>84</v>
      </c>
      <c r="O676" s="229">
        <v>1</v>
      </c>
      <c r="P676" s="230" t="s">
        <v>41</v>
      </c>
      <c r="Q676" s="240">
        <f>M676*O676</f>
        <v>1</v>
      </c>
      <c r="R676" s="242"/>
      <c r="S676" s="240">
        <f t="shared" si="149"/>
        <v>1</v>
      </c>
      <c r="T676" s="216" t="s">
        <v>42</v>
      </c>
      <c r="U676" s="196" t="str">
        <f t="shared" si="147"/>
        <v>1 Days</v>
      </c>
    </row>
    <row r="677" spans="3:21" s="185" customFormat="1" ht="20.25" customHeight="1">
      <c r="C677" s="198"/>
      <c r="D677" s="203">
        <f t="shared" si="138"/>
        <v>677</v>
      </c>
      <c r="E677" s="207" t="s">
        <v>97</v>
      </c>
      <c r="F677" s="211">
        <f>D676</f>
        <v>676</v>
      </c>
      <c r="G677" s="206" t="s">
        <v>55</v>
      </c>
      <c r="H677" s="206"/>
      <c r="I677" s="224" t="str">
        <f>I671</f>
        <v>145 t</v>
      </c>
      <c r="J677" s="208"/>
      <c r="K677" s="231">
        <v>1</v>
      </c>
      <c r="L677" s="208" t="s">
        <v>83</v>
      </c>
      <c r="M677" s="217">
        <v>1</v>
      </c>
      <c r="N677" s="208" t="s">
        <v>84</v>
      </c>
      <c r="O677" s="232">
        <v>4</v>
      </c>
      <c r="P677" s="230" t="s">
        <v>41</v>
      </c>
      <c r="Q677" s="240">
        <f t="shared" ref="Q677:Q679" si="150">M677*O677</f>
        <v>4</v>
      </c>
      <c r="R677" s="242"/>
      <c r="S677" s="240">
        <f t="shared" si="149"/>
        <v>4</v>
      </c>
      <c r="T677" s="216" t="s">
        <v>42</v>
      </c>
      <c r="U677" s="196" t="str">
        <f t="shared" si="147"/>
        <v>4 Days</v>
      </c>
    </row>
    <row r="678" spans="3:21" s="185" customFormat="1" ht="20.25" customHeight="1">
      <c r="C678" s="198"/>
      <c r="D678" s="203">
        <f t="shared" si="138"/>
        <v>678</v>
      </c>
      <c r="E678" s="207" t="s">
        <v>98</v>
      </c>
      <c r="F678" s="211">
        <f>D677</f>
        <v>677</v>
      </c>
      <c r="G678" s="206" t="s">
        <v>44</v>
      </c>
      <c r="H678" s="206"/>
      <c r="I678" s="224" t="str">
        <f>I671</f>
        <v>145 t</v>
      </c>
      <c r="J678" s="208" t="str">
        <f>J675</f>
        <v>1308 holes</v>
      </c>
      <c r="K678" s="231">
        <v>1</v>
      </c>
      <c r="L678" s="208" t="s">
        <v>40</v>
      </c>
      <c r="M678" s="227" t="str">
        <f>LEFT(J678,SEARCH(" ",J678,1)-1)</f>
        <v>1308</v>
      </c>
      <c r="N678" s="208" t="s">
        <v>40</v>
      </c>
      <c r="O678" s="229">
        <f>1/60*3</f>
        <v>0.05</v>
      </c>
      <c r="P678" s="230" t="s">
        <v>87</v>
      </c>
      <c r="Q678" s="240">
        <f t="shared" si="150"/>
        <v>65.400000000000006</v>
      </c>
      <c r="R678" s="242"/>
      <c r="S678" s="240">
        <f t="shared" si="149"/>
        <v>65.400000000000006</v>
      </c>
      <c r="T678" s="243" t="s">
        <v>48</v>
      </c>
      <c r="U678" s="196" t="str">
        <f t="shared" si="147"/>
        <v>65.4 Hrs</v>
      </c>
    </row>
    <row r="679" spans="3:21" s="185" customFormat="1" ht="20.25" customHeight="1">
      <c r="C679" s="198"/>
      <c r="D679" s="203">
        <f t="shared" si="138"/>
        <v>679</v>
      </c>
      <c r="E679" s="207" t="s">
        <v>99</v>
      </c>
      <c r="F679" s="211">
        <f>D678</f>
        <v>678</v>
      </c>
      <c r="G679" s="206" t="s">
        <v>44</v>
      </c>
      <c r="H679" s="206"/>
      <c r="I679" s="208"/>
      <c r="J679" s="208"/>
      <c r="K679" s="231">
        <v>1</v>
      </c>
      <c r="L679" s="208"/>
      <c r="M679" s="227">
        <v>1050</v>
      </c>
      <c r="N679" s="208" t="s">
        <v>40</v>
      </c>
      <c r="O679" s="229">
        <f>1/60*3</f>
        <v>0.05</v>
      </c>
      <c r="P679" s="230" t="s">
        <v>53</v>
      </c>
      <c r="Q679" s="240">
        <f t="shared" si="150"/>
        <v>52.5</v>
      </c>
      <c r="R679" s="242">
        <v>1</v>
      </c>
      <c r="S679" s="240">
        <f t="shared" si="149"/>
        <v>53.5</v>
      </c>
      <c r="T679" s="243" t="s">
        <v>48</v>
      </c>
      <c r="U679" s="196" t="str">
        <f t="shared" si="147"/>
        <v>53.5 Hrs</v>
      </c>
    </row>
    <row r="680" spans="3:21" s="185" customFormat="1" ht="20.25" customHeight="1">
      <c r="C680" s="198">
        <f t="shared" ref="C680:C681" si="151">D680</f>
        <v>680</v>
      </c>
      <c r="D680" s="203">
        <f t="shared" si="138"/>
        <v>680</v>
      </c>
      <c r="E680" s="204" t="s">
        <v>100</v>
      </c>
      <c r="F680" s="210"/>
      <c r="G680" s="208"/>
      <c r="H680" s="208"/>
      <c r="I680" s="208"/>
      <c r="J680" s="208"/>
      <c r="K680" s="234"/>
      <c r="L680" s="208"/>
      <c r="M680" s="217"/>
      <c r="N680" s="208"/>
      <c r="O680" s="218"/>
      <c r="P680" s="208"/>
      <c r="Q680" s="240"/>
      <c r="R680" s="239"/>
      <c r="S680" s="240"/>
      <c r="T680" s="216"/>
      <c r="U680" s="196"/>
    </row>
    <row r="681" spans="3:21" s="185" customFormat="1" ht="20.25" customHeight="1">
      <c r="C681" s="198">
        <f t="shared" si="151"/>
        <v>681</v>
      </c>
      <c r="D681" s="203">
        <f t="shared" si="138"/>
        <v>681</v>
      </c>
      <c r="E681" s="204" t="s">
        <v>101</v>
      </c>
      <c r="F681" s="210">
        <f>D1099</f>
        <v>1099</v>
      </c>
      <c r="G681" s="206"/>
      <c r="H681" s="206"/>
      <c r="I681" s="208"/>
      <c r="J681" s="208"/>
      <c r="K681" s="234"/>
      <c r="L681" s="208"/>
      <c r="M681" s="217"/>
      <c r="N681" s="208"/>
      <c r="O681" s="218"/>
      <c r="P681" s="208"/>
      <c r="Q681" s="240"/>
      <c r="R681" s="239"/>
      <c r="S681" s="240"/>
      <c r="T681" s="216"/>
      <c r="U681" s="196"/>
    </row>
    <row r="682" spans="3:21" s="185" customFormat="1" ht="20.25" customHeight="1">
      <c r="C682" s="198"/>
      <c r="D682" s="203">
        <f t="shared" si="138"/>
        <v>682</v>
      </c>
      <c r="E682" s="244" t="s">
        <v>102</v>
      </c>
      <c r="F682" s="211"/>
      <c r="G682" s="206" t="s">
        <v>44</v>
      </c>
      <c r="H682" s="206"/>
      <c r="I682" s="224" t="s">
        <v>103</v>
      </c>
      <c r="J682" s="208"/>
      <c r="K682" s="234">
        <v>2</v>
      </c>
      <c r="L682" s="208" t="s">
        <v>81</v>
      </c>
      <c r="M682" s="217">
        <f>K682</f>
        <v>2</v>
      </c>
      <c r="N682" s="208" t="s">
        <v>81</v>
      </c>
      <c r="O682" s="218">
        <v>1</v>
      </c>
      <c r="P682" s="230" t="s">
        <v>87</v>
      </c>
      <c r="Q682" s="240">
        <f t="shared" ref="Q682:Q684" si="152">M682*O682</f>
        <v>2</v>
      </c>
      <c r="R682" s="239">
        <v>1</v>
      </c>
      <c r="S682" s="240">
        <f t="shared" si="149"/>
        <v>3</v>
      </c>
      <c r="T682" s="243" t="s">
        <v>48</v>
      </c>
      <c r="U682" s="196" t="str">
        <f t="shared" si="147"/>
        <v>3 Hrs</v>
      </c>
    </row>
    <row r="683" spans="3:21" s="185" customFormat="1" ht="20.25" customHeight="1">
      <c r="C683" s="198"/>
      <c r="D683" s="203">
        <f t="shared" si="138"/>
        <v>683</v>
      </c>
      <c r="E683" s="244" t="s">
        <v>104</v>
      </c>
      <c r="F683" s="211">
        <f>D682</f>
        <v>682</v>
      </c>
      <c r="G683" s="206" t="s">
        <v>44</v>
      </c>
      <c r="H683" s="206"/>
      <c r="I683" s="224" t="s">
        <v>105</v>
      </c>
      <c r="J683" s="208"/>
      <c r="K683" s="234">
        <v>2</v>
      </c>
      <c r="L683" s="208" t="s">
        <v>81</v>
      </c>
      <c r="M683" s="217">
        <f>K683</f>
        <v>2</v>
      </c>
      <c r="N683" s="208" t="s">
        <v>81</v>
      </c>
      <c r="O683" s="218">
        <v>1</v>
      </c>
      <c r="P683" s="230" t="s">
        <v>87</v>
      </c>
      <c r="Q683" s="240">
        <f t="shared" si="152"/>
        <v>2</v>
      </c>
      <c r="R683" s="239">
        <v>1</v>
      </c>
      <c r="S683" s="240">
        <f t="shared" si="149"/>
        <v>3</v>
      </c>
      <c r="T683" s="243" t="s">
        <v>48</v>
      </c>
      <c r="U683" s="196" t="str">
        <f t="shared" si="147"/>
        <v>3 Hrs</v>
      </c>
    </row>
    <row r="684" spans="3:21" s="185" customFormat="1" ht="20.25" customHeight="1">
      <c r="C684" s="198"/>
      <c r="D684" s="203">
        <f t="shared" si="138"/>
        <v>684</v>
      </c>
      <c r="E684" s="244" t="s">
        <v>106</v>
      </c>
      <c r="F684" s="211">
        <f>D683</f>
        <v>683</v>
      </c>
      <c r="G684" s="206" t="s">
        <v>44</v>
      </c>
      <c r="H684" s="206"/>
      <c r="I684" s="208"/>
      <c r="J684" s="208"/>
      <c r="K684" s="234">
        <f>K683+K682</f>
        <v>4</v>
      </c>
      <c r="L684" s="208" t="s">
        <v>81</v>
      </c>
      <c r="M684" s="217">
        <f>K684</f>
        <v>4</v>
      </c>
      <c r="N684" s="208" t="s">
        <v>81</v>
      </c>
      <c r="O684" s="218">
        <v>0.5</v>
      </c>
      <c r="P684" s="230" t="s">
        <v>87</v>
      </c>
      <c r="Q684" s="240">
        <f t="shared" si="152"/>
        <v>2</v>
      </c>
      <c r="R684" s="239">
        <v>1</v>
      </c>
      <c r="S684" s="240">
        <f t="shared" si="149"/>
        <v>3</v>
      </c>
      <c r="T684" s="243" t="s">
        <v>48</v>
      </c>
      <c r="U684" s="196" t="str">
        <f t="shared" si="147"/>
        <v>3 Hrs</v>
      </c>
    </row>
    <row r="685" spans="3:21" s="185" customFormat="1" ht="20.25" customHeight="1">
      <c r="C685" s="198">
        <f>D685</f>
        <v>685</v>
      </c>
      <c r="D685" s="203">
        <f t="shared" si="138"/>
        <v>685</v>
      </c>
      <c r="E685" s="204" t="s">
        <v>107</v>
      </c>
      <c r="F685" s="210">
        <f>D681</f>
        <v>681</v>
      </c>
      <c r="G685" s="206"/>
      <c r="H685" s="206"/>
      <c r="I685" s="208"/>
      <c r="J685" s="208"/>
      <c r="K685" s="234"/>
      <c r="L685" s="208"/>
      <c r="M685" s="217"/>
      <c r="N685" s="208"/>
      <c r="O685" s="218"/>
      <c r="P685" s="208"/>
      <c r="Q685" s="240"/>
      <c r="R685" s="239"/>
      <c r="S685" s="240"/>
      <c r="T685" s="216"/>
      <c r="U685" s="196"/>
    </row>
    <row r="686" spans="3:21" s="185" customFormat="1" ht="20.25" customHeight="1">
      <c r="C686" s="198"/>
      <c r="D686" s="203">
        <f t="shared" si="138"/>
        <v>686</v>
      </c>
      <c r="E686" s="245" t="s">
        <v>102</v>
      </c>
      <c r="F686" s="211"/>
      <c r="G686" s="206" t="s">
        <v>52</v>
      </c>
      <c r="H686" s="206"/>
      <c r="I686" s="224" t="str">
        <f>I682</f>
        <v>26" nb</v>
      </c>
      <c r="J686" s="208"/>
      <c r="K686" s="234">
        <f>K682</f>
        <v>2</v>
      </c>
      <c r="L686" s="208" t="s">
        <v>81</v>
      </c>
      <c r="M686" s="217">
        <f>K686</f>
        <v>2</v>
      </c>
      <c r="N686" s="208" t="s">
        <v>81</v>
      </c>
      <c r="O686" s="218">
        <v>0</v>
      </c>
      <c r="P686" s="230" t="s">
        <v>87</v>
      </c>
      <c r="Q686" s="240">
        <f t="shared" ref="Q686:Q688" si="153">M686*O686</f>
        <v>0</v>
      </c>
      <c r="R686" s="239">
        <v>0</v>
      </c>
      <c r="S686" s="240"/>
      <c r="T686" s="243" t="s">
        <v>48</v>
      </c>
      <c r="U686" s="196"/>
    </row>
    <row r="687" spans="3:21" s="185" customFormat="1" ht="20.25" customHeight="1">
      <c r="C687" s="198"/>
      <c r="D687" s="203">
        <f t="shared" si="138"/>
        <v>687</v>
      </c>
      <c r="E687" s="245" t="s">
        <v>104</v>
      </c>
      <c r="F687" s="211">
        <f>D686</f>
        <v>686</v>
      </c>
      <c r="G687" s="206" t="s">
        <v>52</v>
      </c>
      <c r="H687" s="206"/>
      <c r="I687" s="224" t="str">
        <f>I683</f>
        <v>2"nb</v>
      </c>
      <c r="J687" s="208"/>
      <c r="K687" s="234">
        <f>K683</f>
        <v>2</v>
      </c>
      <c r="L687" s="208" t="s">
        <v>81</v>
      </c>
      <c r="M687" s="217">
        <f>K687</f>
        <v>2</v>
      </c>
      <c r="N687" s="208" t="s">
        <v>81</v>
      </c>
      <c r="O687" s="218">
        <v>0</v>
      </c>
      <c r="P687" s="230" t="s">
        <v>87</v>
      </c>
      <c r="Q687" s="240">
        <f t="shared" si="153"/>
        <v>0</v>
      </c>
      <c r="R687" s="239">
        <v>0</v>
      </c>
      <c r="S687" s="240"/>
      <c r="T687" s="243" t="s">
        <v>48</v>
      </c>
      <c r="U687" s="196"/>
    </row>
    <row r="688" spans="3:21" s="185" customFormat="1" ht="20.25" customHeight="1">
      <c r="C688" s="198"/>
      <c r="D688" s="203">
        <f t="shared" si="138"/>
        <v>688</v>
      </c>
      <c r="E688" s="245" t="s">
        <v>106</v>
      </c>
      <c r="F688" s="211">
        <f>D687</f>
        <v>687</v>
      </c>
      <c r="G688" s="206" t="s">
        <v>52</v>
      </c>
      <c r="H688" s="206"/>
      <c r="I688" s="208"/>
      <c r="J688" s="208"/>
      <c r="K688" s="234">
        <f>K687+K686</f>
        <v>4</v>
      </c>
      <c r="L688" s="208" t="s">
        <v>81</v>
      </c>
      <c r="M688" s="217">
        <f>K688</f>
        <v>4</v>
      </c>
      <c r="N688" s="208" t="s">
        <v>81</v>
      </c>
      <c r="O688" s="218">
        <v>0</v>
      </c>
      <c r="P688" s="230" t="s">
        <v>87</v>
      </c>
      <c r="Q688" s="240">
        <f t="shared" si="153"/>
        <v>0</v>
      </c>
      <c r="R688" s="239">
        <v>0</v>
      </c>
      <c r="S688" s="240"/>
      <c r="T688" s="243" t="s">
        <v>48</v>
      </c>
      <c r="U688" s="196"/>
    </row>
    <row r="689" spans="3:21" s="185" customFormat="1" ht="20.25" customHeight="1">
      <c r="C689" s="198">
        <f>D689</f>
        <v>689</v>
      </c>
      <c r="D689" s="203">
        <f t="shared" si="138"/>
        <v>689</v>
      </c>
      <c r="E689" s="204" t="s">
        <v>108</v>
      </c>
      <c r="F689" s="210">
        <f>D685</f>
        <v>685</v>
      </c>
      <c r="G689" s="206"/>
      <c r="H689" s="206"/>
      <c r="I689" s="208"/>
      <c r="J689" s="208"/>
      <c r="K689" s="234"/>
      <c r="L689" s="208"/>
      <c r="M689" s="217"/>
      <c r="N689" s="208"/>
      <c r="O689" s="218"/>
      <c r="P689" s="208"/>
      <c r="Q689" s="240"/>
      <c r="R689" s="239"/>
      <c r="S689" s="240"/>
      <c r="T689" s="216"/>
      <c r="U689" s="196"/>
    </row>
    <row r="690" spans="3:21" s="185" customFormat="1" ht="20.25" customHeight="1">
      <c r="C690" s="198"/>
      <c r="D690" s="203">
        <f t="shared" si="138"/>
        <v>690</v>
      </c>
      <c r="E690" s="244" t="s">
        <v>102</v>
      </c>
      <c r="F690" s="211"/>
      <c r="G690" s="206" t="s">
        <v>52</v>
      </c>
      <c r="H690" s="206"/>
      <c r="I690" s="224" t="str">
        <f>I682</f>
        <v>26" nb</v>
      </c>
      <c r="J690" s="208"/>
      <c r="K690" s="234">
        <f>K682</f>
        <v>2</v>
      </c>
      <c r="L690" s="208" t="s">
        <v>81</v>
      </c>
      <c r="M690" s="217">
        <v>2</v>
      </c>
      <c r="N690" s="208" t="s">
        <v>81</v>
      </c>
      <c r="O690" s="218">
        <v>4</v>
      </c>
      <c r="P690" s="208"/>
      <c r="Q690" s="240">
        <f t="shared" ref="Q690:Q692" si="154">M690*O690</f>
        <v>8</v>
      </c>
      <c r="R690" s="239">
        <v>0</v>
      </c>
      <c r="S690" s="240">
        <f t="shared" si="149"/>
        <v>8</v>
      </c>
      <c r="T690" s="243" t="s">
        <v>48</v>
      </c>
      <c r="U690" s="196" t="str">
        <f t="shared" si="147"/>
        <v>8 Hrs</v>
      </c>
    </row>
    <row r="691" spans="3:21" s="185" customFormat="1" ht="20.25" customHeight="1">
      <c r="C691" s="198"/>
      <c r="D691" s="203">
        <f t="shared" si="138"/>
        <v>691</v>
      </c>
      <c r="E691" s="244" t="s">
        <v>104</v>
      </c>
      <c r="F691" s="211">
        <f>D690</f>
        <v>690</v>
      </c>
      <c r="G691" s="206" t="s">
        <v>52</v>
      </c>
      <c r="H691" s="206"/>
      <c r="I691" s="224" t="str">
        <f>I683</f>
        <v>2"nb</v>
      </c>
      <c r="J691" s="208"/>
      <c r="K691" s="234">
        <f>K683</f>
        <v>2</v>
      </c>
      <c r="L691" s="208" t="s">
        <v>81</v>
      </c>
      <c r="M691" s="217">
        <v>2</v>
      </c>
      <c r="N691" s="208" t="s">
        <v>81</v>
      </c>
      <c r="O691" s="218">
        <v>0</v>
      </c>
      <c r="P691" s="208"/>
      <c r="Q691" s="240">
        <f t="shared" si="154"/>
        <v>0</v>
      </c>
      <c r="R691" s="239">
        <v>0</v>
      </c>
      <c r="S691" s="240"/>
      <c r="T691" s="243" t="s">
        <v>48</v>
      </c>
      <c r="U691" s="196"/>
    </row>
    <row r="692" spans="3:21" s="185" customFormat="1" ht="20.25" customHeight="1">
      <c r="C692" s="198"/>
      <c r="D692" s="203">
        <f t="shared" si="138"/>
        <v>692</v>
      </c>
      <c r="E692" s="244" t="s">
        <v>109</v>
      </c>
      <c r="F692" s="211">
        <f>D691</f>
        <v>691</v>
      </c>
      <c r="G692" s="206" t="s">
        <v>52</v>
      </c>
      <c r="H692" s="206"/>
      <c r="I692" s="208"/>
      <c r="J692" s="208"/>
      <c r="K692" s="234">
        <f>K691+K690</f>
        <v>4</v>
      </c>
      <c r="L692" s="208" t="s">
        <v>81</v>
      </c>
      <c r="M692" s="217">
        <v>4</v>
      </c>
      <c r="N692" s="208" t="s">
        <v>81</v>
      </c>
      <c r="O692" s="218">
        <v>0</v>
      </c>
      <c r="P692" s="208"/>
      <c r="Q692" s="240">
        <f t="shared" si="154"/>
        <v>0</v>
      </c>
      <c r="R692" s="239">
        <v>0</v>
      </c>
      <c r="S692" s="240"/>
      <c r="T692" s="243" t="s">
        <v>48</v>
      </c>
      <c r="U692" s="196"/>
    </row>
    <row r="693" spans="3:21" s="185" customFormat="1" ht="20.25" customHeight="1">
      <c r="C693" s="198">
        <f>D693</f>
        <v>693</v>
      </c>
      <c r="D693" s="203">
        <f t="shared" si="138"/>
        <v>693</v>
      </c>
      <c r="E693" s="204" t="s">
        <v>110</v>
      </c>
      <c r="F693" s="210">
        <f>D689</f>
        <v>689</v>
      </c>
      <c r="G693" s="206"/>
      <c r="H693" s="206"/>
      <c r="I693" s="208"/>
      <c r="J693" s="208"/>
      <c r="K693" s="234"/>
      <c r="L693" s="208"/>
      <c r="M693" s="217"/>
      <c r="N693" s="208"/>
      <c r="O693" s="218"/>
      <c r="P693" s="208"/>
      <c r="Q693" s="240"/>
      <c r="R693" s="239"/>
      <c r="S693" s="240"/>
      <c r="T693" s="216"/>
      <c r="U693" s="196"/>
    </row>
    <row r="694" spans="3:21" s="185" customFormat="1" ht="20.25" customHeight="1">
      <c r="C694" s="198"/>
      <c r="D694" s="203">
        <f t="shared" si="138"/>
        <v>694</v>
      </c>
      <c r="E694" s="245" t="s">
        <v>102</v>
      </c>
      <c r="F694" s="211"/>
      <c r="G694" s="206" t="s">
        <v>111</v>
      </c>
      <c r="H694" s="206"/>
      <c r="I694" s="224" t="str">
        <f>I682</f>
        <v>26" nb</v>
      </c>
      <c r="J694" s="208"/>
      <c r="K694" s="234">
        <v>2</v>
      </c>
      <c r="L694" s="208" t="s">
        <v>50</v>
      </c>
      <c r="M694" s="217">
        <v>2</v>
      </c>
      <c r="N694" s="208" t="s">
        <v>50</v>
      </c>
      <c r="O694" s="218">
        <v>4</v>
      </c>
      <c r="P694" s="208" t="s">
        <v>112</v>
      </c>
      <c r="Q694" s="240">
        <f t="shared" ref="Q694:Q696" si="155">M694*O694</f>
        <v>8</v>
      </c>
      <c r="R694" s="239">
        <v>1</v>
      </c>
      <c r="S694" s="240">
        <f t="shared" si="149"/>
        <v>9</v>
      </c>
      <c r="T694" s="243" t="s">
        <v>48</v>
      </c>
      <c r="U694" s="196" t="str">
        <f t="shared" si="147"/>
        <v>9 Hrs</v>
      </c>
    </row>
    <row r="695" spans="3:21" s="185" customFormat="1" ht="20.25" customHeight="1">
      <c r="C695" s="198"/>
      <c r="D695" s="203">
        <f t="shared" si="138"/>
        <v>695</v>
      </c>
      <c r="E695" s="245" t="s">
        <v>104</v>
      </c>
      <c r="F695" s="211">
        <f>D694</f>
        <v>694</v>
      </c>
      <c r="G695" s="206" t="s">
        <v>111</v>
      </c>
      <c r="H695" s="206"/>
      <c r="I695" s="224" t="str">
        <f>I683</f>
        <v>2"nb</v>
      </c>
      <c r="J695" s="208"/>
      <c r="K695" s="234">
        <v>2</v>
      </c>
      <c r="L695" s="208" t="s">
        <v>50</v>
      </c>
      <c r="M695" s="217">
        <v>2</v>
      </c>
      <c r="N695" s="208" t="s">
        <v>50</v>
      </c>
      <c r="O695" s="218">
        <v>0</v>
      </c>
      <c r="P695" s="208" t="s">
        <v>112</v>
      </c>
      <c r="Q695" s="240">
        <f t="shared" si="155"/>
        <v>0</v>
      </c>
      <c r="R695" s="239">
        <v>1</v>
      </c>
      <c r="S695" s="240">
        <f t="shared" si="149"/>
        <v>1</v>
      </c>
      <c r="T695" s="243" t="s">
        <v>48</v>
      </c>
      <c r="U695" s="196" t="str">
        <f t="shared" si="147"/>
        <v>1 Hrs</v>
      </c>
    </row>
    <row r="696" spans="3:21" s="185" customFormat="1" ht="20.25" customHeight="1">
      <c r="C696" s="198"/>
      <c r="D696" s="203">
        <f t="shared" si="138"/>
        <v>696</v>
      </c>
      <c r="E696" s="245" t="s">
        <v>113</v>
      </c>
      <c r="F696" s="211">
        <f>D695</f>
        <v>695</v>
      </c>
      <c r="G696" s="206" t="s">
        <v>111</v>
      </c>
      <c r="H696" s="206"/>
      <c r="I696" s="208"/>
      <c r="J696" s="208"/>
      <c r="K696" s="234">
        <v>4</v>
      </c>
      <c r="L696" s="208" t="s">
        <v>50</v>
      </c>
      <c r="M696" s="217">
        <v>4</v>
      </c>
      <c r="N696" s="208" t="s">
        <v>50</v>
      </c>
      <c r="O696" s="218">
        <v>0.25</v>
      </c>
      <c r="P696" s="208" t="s">
        <v>112</v>
      </c>
      <c r="Q696" s="240">
        <f t="shared" si="155"/>
        <v>1</v>
      </c>
      <c r="R696" s="239">
        <v>1</v>
      </c>
      <c r="S696" s="240">
        <f t="shared" si="149"/>
        <v>2</v>
      </c>
      <c r="T696" s="243" t="s">
        <v>48</v>
      </c>
      <c r="U696" s="196" t="str">
        <f t="shared" si="147"/>
        <v>2 Hrs</v>
      </c>
    </row>
    <row r="697" spans="3:21" s="185" customFormat="1" ht="20.25" customHeight="1">
      <c r="C697" s="198">
        <f>D697</f>
        <v>697</v>
      </c>
      <c r="D697" s="203">
        <f t="shared" si="138"/>
        <v>697</v>
      </c>
      <c r="E697" s="204" t="s">
        <v>114</v>
      </c>
      <c r="F697" s="210">
        <f>D693</f>
        <v>693</v>
      </c>
      <c r="G697" s="206"/>
      <c r="H697" s="206"/>
      <c r="I697" s="208"/>
      <c r="J697" s="208"/>
      <c r="K697" s="234"/>
      <c r="L697" s="208"/>
      <c r="M697" s="217"/>
      <c r="N697" s="208"/>
      <c r="O697" s="218"/>
      <c r="P697" s="208"/>
      <c r="Q697" s="240"/>
      <c r="R697" s="239"/>
      <c r="S697" s="240"/>
      <c r="T697" s="216"/>
      <c r="U697" s="196"/>
    </row>
    <row r="698" spans="3:21" s="185" customFormat="1" ht="20.25" customHeight="1">
      <c r="C698" s="198"/>
      <c r="D698" s="203">
        <f t="shared" si="138"/>
        <v>698</v>
      </c>
      <c r="E698" s="244" t="s">
        <v>102</v>
      </c>
      <c r="F698" s="211"/>
      <c r="G698" s="206" t="s">
        <v>115</v>
      </c>
      <c r="H698" s="206"/>
      <c r="I698" s="224" t="s">
        <v>116</v>
      </c>
      <c r="J698" s="234" t="s">
        <v>117</v>
      </c>
      <c r="K698" s="234">
        <v>2</v>
      </c>
      <c r="L698" s="208" t="s">
        <v>50</v>
      </c>
      <c r="M698" s="227">
        <f>LEFT(J698,SEARCH(" ",J698,1)-1)*K698*0.001</f>
        <v>6.1080000000000005</v>
      </c>
      <c r="N698" s="208" t="s">
        <v>50</v>
      </c>
      <c r="O698" s="246">
        <f>6.12</f>
        <v>6.12</v>
      </c>
      <c r="P698" s="208" t="s">
        <v>112</v>
      </c>
      <c r="Q698" s="240">
        <f>M698*O698</f>
        <v>37.380960000000002</v>
      </c>
      <c r="R698" s="239">
        <v>1</v>
      </c>
      <c r="S698" s="240">
        <f t="shared" si="149"/>
        <v>38.380000000000003</v>
      </c>
      <c r="T698" s="243" t="s">
        <v>48</v>
      </c>
      <c r="U698" s="196" t="str">
        <f t="shared" si="147"/>
        <v>38.38 Hrs</v>
      </c>
    </row>
    <row r="699" spans="3:21" s="185" customFormat="1" ht="20.25" customHeight="1">
      <c r="C699" s="198"/>
      <c r="D699" s="203">
        <f t="shared" si="138"/>
        <v>699</v>
      </c>
      <c r="E699" s="244" t="s">
        <v>104</v>
      </c>
      <c r="F699" s="211">
        <f>D698</f>
        <v>698</v>
      </c>
      <c r="G699" s="206" t="s">
        <v>115</v>
      </c>
      <c r="H699" s="206"/>
      <c r="I699" s="224" t="str">
        <f>I687</f>
        <v>2"nb</v>
      </c>
      <c r="J699" s="234" t="s">
        <v>118</v>
      </c>
      <c r="K699" s="234">
        <v>2</v>
      </c>
      <c r="L699" s="208" t="s">
        <v>50</v>
      </c>
      <c r="M699" s="217">
        <v>0</v>
      </c>
      <c r="N699" s="208" t="s">
        <v>50</v>
      </c>
      <c r="O699" s="246"/>
      <c r="P699" s="208" t="s">
        <v>112</v>
      </c>
      <c r="Q699" s="240">
        <f t="shared" ref="Q699:Q700" si="156">M699*O699</f>
        <v>0</v>
      </c>
      <c r="R699" s="239"/>
      <c r="S699" s="240"/>
      <c r="T699" s="243" t="s">
        <v>48</v>
      </c>
      <c r="U699" s="196"/>
    </row>
    <row r="700" spans="3:21" s="185" customFormat="1" ht="20.25" customHeight="1">
      <c r="C700" s="198"/>
      <c r="D700" s="203">
        <f t="shared" si="138"/>
        <v>700</v>
      </c>
      <c r="E700" s="244" t="s">
        <v>109</v>
      </c>
      <c r="F700" s="211">
        <f>D699</f>
        <v>699</v>
      </c>
      <c r="G700" s="206" t="s">
        <v>115</v>
      </c>
      <c r="H700" s="206"/>
      <c r="I700" s="208"/>
      <c r="J700" s="208"/>
      <c r="K700" s="234">
        <v>4</v>
      </c>
      <c r="L700" s="208" t="s">
        <v>50</v>
      </c>
      <c r="M700" s="217">
        <v>4</v>
      </c>
      <c r="N700" s="208" t="s">
        <v>50</v>
      </c>
      <c r="O700" s="218">
        <v>0.25</v>
      </c>
      <c r="P700" s="208" t="s">
        <v>112</v>
      </c>
      <c r="Q700" s="240">
        <f t="shared" si="156"/>
        <v>1</v>
      </c>
      <c r="R700" s="239">
        <v>1</v>
      </c>
      <c r="S700" s="240">
        <f t="shared" si="149"/>
        <v>2</v>
      </c>
      <c r="T700" s="243" t="s">
        <v>48</v>
      </c>
      <c r="U700" s="196" t="str">
        <f t="shared" si="147"/>
        <v>2 Hrs</v>
      </c>
    </row>
    <row r="701" spans="3:21" s="185" customFormat="1" ht="20.25" customHeight="1">
      <c r="C701" s="198">
        <f>D701</f>
        <v>701</v>
      </c>
      <c r="D701" s="203">
        <f t="shared" si="138"/>
        <v>701</v>
      </c>
      <c r="E701" s="204" t="s">
        <v>119</v>
      </c>
      <c r="F701" s="210">
        <f>D697</f>
        <v>697</v>
      </c>
      <c r="G701" s="206"/>
      <c r="H701" s="206"/>
      <c r="I701" s="208"/>
      <c r="J701" s="208"/>
      <c r="K701" s="234"/>
      <c r="L701" s="208"/>
      <c r="M701" s="217"/>
      <c r="N701" s="208"/>
      <c r="O701" s="218"/>
      <c r="P701" s="208"/>
      <c r="Q701" s="240"/>
      <c r="R701" s="239"/>
      <c r="S701" s="240"/>
      <c r="T701" s="216"/>
      <c r="U701" s="196"/>
    </row>
    <row r="702" spans="3:21" s="185" customFormat="1" ht="20.25" customHeight="1">
      <c r="C702" s="198"/>
      <c r="D702" s="203">
        <f t="shared" si="138"/>
        <v>702</v>
      </c>
      <c r="E702" s="245" t="s">
        <v>102</v>
      </c>
      <c r="F702" s="211"/>
      <c r="G702" s="206" t="s">
        <v>44</v>
      </c>
      <c r="H702" s="206"/>
      <c r="I702" s="224" t="str">
        <f>I690</f>
        <v>26" nb</v>
      </c>
      <c r="J702" s="208"/>
      <c r="K702" s="234">
        <v>2</v>
      </c>
      <c r="L702" s="208" t="s">
        <v>50</v>
      </c>
      <c r="M702" s="217">
        <v>1</v>
      </c>
      <c r="N702" s="208" t="s">
        <v>50</v>
      </c>
      <c r="O702" s="246">
        <v>4</v>
      </c>
      <c r="P702" s="208" t="s">
        <v>112</v>
      </c>
      <c r="Q702" s="240">
        <f t="shared" ref="Q702:Q704" si="157">M702*O702</f>
        <v>4</v>
      </c>
      <c r="R702" s="239">
        <v>1</v>
      </c>
      <c r="S702" s="240">
        <f t="shared" si="149"/>
        <v>5</v>
      </c>
      <c r="T702" s="243" t="s">
        <v>48</v>
      </c>
      <c r="U702" s="196" t="str">
        <f t="shared" si="147"/>
        <v>5 Hrs</v>
      </c>
    </row>
    <row r="703" spans="3:21" s="185" customFormat="1" ht="20.25" customHeight="1">
      <c r="C703" s="198"/>
      <c r="D703" s="203">
        <f t="shared" si="138"/>
        <v>703</v>
      </c>
      <c r="E703" s="245" t="s">
        <v>104</v>
      </c>
      <c r="F703" s="211">
        <f>D702</f>
        <v>702</v>
      </c>
      <c r="G703" s="206" t="s">
        <v>44</v>
      </c>
      <c r="H703" s="206"/>
      <c r="I703" s="224" t="str">
        <f>I691</f>
        <v>2"nb</v>
      </c>
      <c r="J703" s="208"/>
      <c r="K703" s="234">
        <v>2</v>
      </c>
      <c r="L703" s="208" t="s">
        <v>50</v>
      </c>
      <c r="M703" s="217">
        <v>1</v>
      </c>
      <c r="N703" s="208" t="s">
        <v>50</v>
      </c>
      <c r="O703" s="246">
        <v>1</v>
      </c>
      <c r="P703" s="208" t="s">
        <v>112</v>
      </c>
      <c r="Q703" s="240">
        <f t="shared" si="157"/>
        <v>1</v>
      </c>
      <c r="R703" s="239">
        <v>1</v>
      </c>
      <c r="S703" s="240">
        <f t="shared" si="149"/>
        <v>2</v>
      </c>
      <c r="T703" s="243" t="s">
        <v>48</v>
      </c>
      <c r="U703" s="196" t="str">
        <f t="shared" si="147"/>
        <v>2 Hrs</v>
      </c>
    </row>
    <row r="704" spans="3:21" s="185" customFormat="1" ht="20.25" customHeight="1">
      <c r="C704" s="198"/>
      <c r="D704" s="203">
        <f t="shared" si="138"/>
        <v>704</v>
      </c>
      <c r="E704" s="245" t="s">
        <v>109</v>
      </c>
      <c r="F704" s="211">
        <f>D703</f>
        <v>703</v>
      </c>
      <c r="G704" s="206" t="s">
        <v>44</v>
      </c>
      <c r="H704" s="206"/>
      <c r="I704" s="208"/>
      <c r="J704" s="208"/>
      <c r="K704" s="234">
        <v>4</v>
      </c>
      <c r="L704" s="208" t="s">
        <v>50</v>
      </c>
      <c r="M704" s="217">
        <v>1</v>
      </c>
      <c r="N704" s="208" t="s">
        <v>50</v>
      </c>
      <c r="O704" s="218">
        <v>1</v>
      </c>
      <c r="P704" s="208" t="s">
        <v>112</v>
      </c>
      <c r="Q704" s="240">
        <f t="shared" si="157"/>
        <v>1</v>
      </c>
      <c r="R704" s="239">
        <v>1</v>
      </c>
      <c r="S704" s="240">
        <f t="shared" si="149"/>
        <v>2</v>
      </c>
      <c r="T704" s="243" t="s">
        <v>48</v>
      </c>
      <c r="U704" s="196" t="str">
        <f t="shared" si="147"/>
        <v>2 Hrs</v>
      </c>
    </row>
    <row r="705" spans="3:21" s="185" customFormat="1" ht="20.25" customHeight="1">
      <c r="C705" s="198">
        <f>D705</f>
        <v>705</v>
      </c>
      <c r="D705" s="203">
        <f t="shared" si="138"/>
        <v>705</v>
      </c>
      <c r="E705" s="204" t="s">
        <v>690</v>
      </c>
      <c r="F705" s="210">
        <f>D701</f>
        <v>701</v>
      </c>
      <c r="G705" s="206"/>
      <c r="H705" s="206"/>
      <c r="I705" s="208"/>
      <c r="J705" s="208"/>
      <c r="K705" s="234"/>
      <c r="L705" s="208"/>
      <c r="M705" s="217"/>
      <c r="N705" s="208"/>
      <c r="O705" s="218"/>
      <c r="P705" s="208"/>
      <c r="Q705" s="240"/>
      <c r="R705" s="239"/>
      <c r="S705" s="240"/>
      <c r="T705" s="216"/>
      <c r="U705" s="196"/>
    </row>
    <row r="706" spans="3:21" s="185" customFormat="1" ht="20.25" customHeight="1">
      <c r="C706" s="198"/>
      <c r="D706" s="203">
        <f t="shared" si="138"/>
        <v>706</v>
      </c>
      <c r="E706" s="244" t="s">
        <v>102</v>
      </c>
      <c r="F706" s="211"/>
      <c r="G706" s="206" t="s">
        <v>121</v>
      </c>
      <c r="H706" s="206"/>
      <c r="I706" s="224" t="str">
        <f>I694</f>
        <v>26" nb</v>
      </c>
      <c r="J706" s="208"/>
      <c r="K706" s="234">
        <v>2</v>
      </c>
      <c r="L706" s="208" t="s">
        <v>50</v>
      </c>
      <c r="M706" s="217">
        <v>0</v>
      </c>
      <c r="N706" s="208" t="s">
        <v>50</v>
      </c>
      <c r="O706" s="246"/>
      <c r="P706" s="208" t="s">
        <v>112</v>
      </c>
      <c r="Q706" s="240">
        <f t="shared" ref="Q706:Q708" si="158">M706*O706</f>
        <v>0</v>
      </c>
      <c r="R706" s="239">
        <v>1</v>
      </c>
      <c r="S706" s="240">
        <f t="shared" si="149"/>
        <v>1</v>
      </c>
      <c r="T706" s="243" t="s">
        <v>48</v>
      </c>
      <c r="U706" s="196" t="str">
        <f t="shared" si="147"/>
        <v>1 Hrs</v>
      </c>
    </row>
    <row r="707" spans="3:21" s="185" customFormat="1" ht="20.25" customHeight="1">
      <c r="C707" s="198"/>
      <c r="D707" s="203">
        <f t="shared" ref="D707:D770" si="159">D706+1</f>
        <v>707</v>
      </c>
      <c r="E707" s="244" t="s">
        <v>104</v>
      </c>
      <c r="F707" s="211">
        <f>D706</f>
        <v>706</v>
      </c>
      <c r="G707" s="206" t="s">
        <v>121</v>
      </c>
      <c r="H707" s="206"/>
      <c r="I707" s="224" t="str">
        <f>I695</f>
        <v>2"nb</v>
      </c>
      <c r="J707" s="208"/>
      <c r="K707" s="234">
        <v>2</v>
      </c>
      <c r="L707" s="208" t="s">
        <v>50</v>
      </c>
      <c r="M707" s="217">
        <v>0</v>
      </c>
      <c r="N707" s="208" t="s">
        <v>50</v>
      </c>
      <c r="O707" s="246"/>
      <c r="P707" s="208" t="s">
        <v>112</v>
      </c>
      <c r="Q707" s="240">
        <f t="shared" si="158"/>
        <v>0</v>
      </c>
      <c r="R707" s="239">
        <v>1</v>
      </c>
      <c r="S707" s="240">
        <f t="shared" si="149"/>
        <v>1</v>
      </c>
      <c r="T707" s="243" t="s">
        <v>48</v>
      </c>
      <c r="U707" s="196" t="str">
        <f t="shared" si="147"/>
        <v>1 Hrs</v>
      </c>
    </row>
    <row r="708" spans="3:21" s="185" customFormat="1" ht="20.25" customHeight="1">
      <c r="C708" s="198"/>
      <c r="D708" s="203">
        <f t="shared" si="159"/>
        <v>708</v>
      </c>
      <c r="E708" s="244" t="s">
        <v>109</v>
      </c>
      <c r="F708" s="211">
        <f>D707</f>
        <v>707</v>
      </c>
      <c r="G708" s="206" t="s">
        <v>121</v>
      </c>
      <c r="H708" s="206"/>
      <c r="I708" s="208"/>
      <c r="J708" s="208"/>
      <c r="K708" s="234">
        <v>4</v>
      </c>
      <c r="L708" s="208" t="s">
        <v>50</v>
      </c>
      <c r="M708" s="217">
        <v>0</v>
      </c>
      <c r="N708" s="208" t="s">
        <v>50</v>
      </c>
      <c r="O708" s="218"/>
      <c r="P708" s="208" t="s">
        <v>112</v>
      </c>
      <c r="Q708" s="240">
        <f t="shared" si="158"/>
        <v>0</v>
      </c>
      <c r="R708" s="239">
        <v>1</v>
      </c>
      <c r="S708" s="240">
        <f t="shared" si="149"/>
        <v>1</v>
      </c>
      <c r="T708" s="243" t="s">
        <v>48</v>
      </c>
      <c r="U708" s="196" t="str">
        <f t="shared" si="147"/>
        <v>1 Hrs</v>
      </c>
    </row>
    <row r="709" spans="3:21" s="185" customFormat="1" ht="20.25" customHeight="1">
      <c r="C709" s="198">
        <f>D709</f>
        <v>709</v>
      </c>
      <c r="D709" s="203">
        <f t="shared" si="159"/>
        <v>709</v>
      </c>
      <c r="E709" s="204" t="s">
        <v>122</v>
      </c>
      <c r="F709" s="210">
        <f>D705</f>
        <v>705</v>
      </c>
      <c r="G709" s="206"/>
      <c r="H709" s="206"/>
      <c r="I709" s="208"/>
      <c r="J709" s="208"/>
      <c r="K709" s="234"/>
      <c r="L709" s="208"/>
      <c r="M709" s="217"/>
      <c r="N709" s="208"/>
      <c r="O709" s="218"/>
      <c r="P709" s="208"/>
      <c r="Q709" s="240"/>
      <c r="R709" s="239"/>
      <c r="S709" s="240"/>
      <c r="T709" s="216"/>
      <c r="U709" s="196"/>
    </row>
    <row r="710" spans="3:21" s="185" customFormat="1" ht="20.25" customHeight="1">
      <c r="C710" s="198"/>
      <c r="D710" s="203">
        <f t="shared" si="159"/>
        <v>710</v>
      </c>
      <c r="E710" s="245" t="s">
        <v>102</v>
      </c>
      <c r="F710" s="211"/>
      <c r="G710" s="206" t="s">
        <v>121</v>
      </c>
      <c r="H710" s="206"/>
      <c r="I710" s="224" t="s">
        <v>123</v>
      </c>
      <c r="J710" s="208" t="str">
        <f>J698</f>
        <v>3054 mm</v>
      </c>
      <c r="K710" s="234">
        <v>2</v>
      </c>
      <c r="L710" s="208" t="s">
        <v>50</v>
      </c>
      <c r="M710" s="227">
        <f>LEFT(J710,SEARCH(" ",J710,1)-1)*K710*0.001</f>
        <v>6.1080000000000005</v>
      </c>
      <c r="N710" s="208" t="s">
        <v>50</v>
      </c>
      <c r="O710" s="246">
        <v>1</v>
      </c>
      <c r="P710" s="208" t="s">
        <v>112</v>
      </c>
      <c r="Q710" s="240">
        <f t="shared" ref="Q710:Q712" si="160">M710*O710</f>
        <v>6.1080000000000005</v>
      </c>
      <c r="R710" s="239">
        <v>1</v>
      </c>
      <c r="S710" s="240">
        <f t="shared" si="149"/>
        <v>7.11</v>
      </c>
      <c r="T710" s="243" t="s">
        <v>48</v>
      </c>
      <c r="U710" s="196" t="str">
        <f t="shared" si="147"/>
        <v>7.11 Hrs</v>
      </c>
    </row>
    <row r="711" spans="3:21" s="185" customFormat="1" ht="20.25" customHeight="1">
      <c r="C711" s="198"/>
      <c r="D711" s="203">
        <f t="shared" si="159"/>
        <v>711</v>
      </c>
      <c r="E711" s="245" t="s">
        <v>104</v>
      </c>
      <c r="F711" s="211">
        <f t="shared" ref="F711:F712" si="161">D710</f>
        <v>710</v>
      </c>
      <c r="G711" s="206" t="s">
        <v>121</v>
      </c>
      <c r="H711" s="206"/>
      <c r="I711" s="224">
        <v>18</v>
      </c>
      <c r="J711" s="211" t="str">
        <f>J699</f>
        <v>272 MM</v>
      </c>
      <c r="K711" s="234">
        <v>2</v>
      </c>
      <c r="L711" s="208" t="s">
        <v>50</v>
      </c>
      <c r="M711" s="227">
        <f>LEFT(J711,SEARCH(" ",J711,1)-1)*K711*0.001</f>
        <v>0.54400000000000004</v>
      </c>
      <c r="N711" s="208" t="s">
        <v>50</v>
      </c>
      <c r="O711" s="246">
        <v>0.5</v>
      </c>
      <c r="P711" s="208" t="s">
        <v>112</v>
      </c>
      <c r="Q711" s="240">
        <f t="shared" si="160"/>
        <v>0.27200000000000002</v>
      </c>
      <c r="R711" s="239">
        <v>1</v>
      </c>
      <c r="S711" s="240">
        <f t="shared" si="149"/>
        <v>1.27</v>
      </c>
      <c r="T711" s="243" t="s">
        <v>48</v>
      </c>
      <c r="U711" s="196" t="str">
        <f t="shared" si="147"/>
        <v>1.27 Hrs</v>
      </c>
    </row>
    <row r="712" spans="3:21" s="185" customFormat="1" ht="20.25" customHeight="1">
      <c r="C712" s="198"/>
      <c r="D712" s="203">
        <f t="shared" si="159"/>
        <v>712</v>
      </c>
      <c r="E712" s="245" t="s">
        <v>109</v>
      </c>
      <c r="F712" s="211">
        <f t="shared" si="161"/>
        <v>711</v>
      </c>
      <c r="G712" s="206" t="s">
        <v>121</v>
      </c>
      <c r="H712" s="206"/>
      <c r="I712" s="208"/>
      <c r="J712" s="208"/>
      <c r="K712" s="234">
        <v>4</v>
      </c>
      <c r="L712" s="208" t="s">
        <v>50</v>
      </c>
      <c r="M712" s="217">
        <v>1</v>
      </c>
      <c r="N712" s="208" t="s">
        <v>50</v>
      </c>
      <c r="O712" s="218">
        <v>1</v>
      </c>
      <c r="P712" s="208" t="s">
        <v>112</v>
      </c>
      <c r="Q712" s="240">
        <f t="shared" si="160"/>
        <v>1</v>
      </c>
      <c r="R712" s="239">
        <v>1</v>
      </c>
      <c r="S712" s="240">
        <f t="shared" si="149"/>
        <v>2</v>
      </c>
      <c r="T712" s="243" t="s">
        <v>48</v>
      </c>
      <c r="U712" s="196" t="str">
        <f t="shared" si="147"/>
        <v>2 Hrs</v>
      </c>
    </row>
    <row r="713" spans="3:21" s="185" customFormat="1" ht="20.25" customHeight="1">
      <c r="C713" s="198">
        <f>D713</f>
        <v>713</v>
      </c>
      <c r="D713" s="203">
        <f t="shared" si="159"/>
        <v>713</v>
      </c>
      <c r="E713" s="204" t="s">
        <v>124</v>
      </c>
      <c r="F713" s="210">
        <f>D709</f>
        <v>709</v>
      </c>
      <c r="G713" s="206"/>
      <c r="H713" s="206"/>
      <c r="I713" s="208"/>
      <c r="J713" s="208"/>
      <c r="K713" s="234"/>
      <c r="L713" s="208"/>
      <c r="M713" s="217"/>
      <c r="N713" s="208"/>
      <c r="O713" s="218"/>
      <c r="P713" s="208"/>
      <c r="Q713" s="240"/>
      <c r="R713" s="239"/>
      <c r="S713" s="240"/>
      <c r="T713" s="216"/>
      <c r="U713" s="196"/>
    </row>
    <row r="714" spans="3:21" s="185" customFormat="1" ht="20.25" customHeight="1">
      <c r="C714" s="198"/>
      <c r="D714" s="203">
        <f t="shared" si="159"/>
        <v>714</v>
      </c>
      <c r="E714" s="207" t="s">
        <v>125</v>
      </c>
      <c r="F714" s="211"/>
      <c r="G714" s="206" t="s">
        <v>44</v>
      </c>
      <c r="H714" s="206"/>
      <c r="I714" s="224" t="s">
        <v>103</v>
      </c>
      <c r="J714" s="208" t="str">
        <f>J710</f>
        <v>3054 mm</v>
      </c>
      <c r="K714" s="234">
        <v>2</v>
      </c>
      <c r="L714" s="208" t="s">
        <v>81</v>
      </c>
      <c r="M714" s="217">
        <f>K714</f>
        <v>2</v>
      </c>
      <c r="N714" s="208" t="s">
        <v>81</v>
      </c>
      <c r="O714" s="218">
        <v>1</v>
      </c>
      <c r="P714" s="208"/>
      <c r="Q714" s="240">
        <f t="shared" ref="Q714:Q716" si="162">M714*O714</f>
        <v>2</v>
      </c>
      <c r="R714" s="239">
        <v>1</v>
      </c>
      <c r="S714" s="240">
        <f t="shared" si="149"/>
        <v>3</v>
      </c>
      <c r="T714" s="243" t="s">
        <v>48</v>
      </c>
      <c r="U714" s="196" t="str">
        <f t="shared" si="147"/>
        <v>3 Hrs</v>
      </c>
    </row>
    <row r="715" spans="3:21" s="185" customFormat="1" ht="20.25" customHeight="1">
      <c r="C715" s="198"/>
      <c r="D715" s="203">
        <f t="shared" si="159"/>
        <v>715</v>
      </c>
      <c r="E715" s="207" t="s">
        <v>104</v>
      </c>
      <c r="F715" s="211">
        <f t="shared" ref="F715:F716" si="163">D714</f>
        <v>714</v>
      </c>
      <c r="G715" s="206" t="s">
        <v>44</v>
      </c>
      <c r="H715" s="206"/>
      <c r="I715" s="224" t="s">
        <v>105</v>
      </c>
      <c r="J715" s="208" t="str">
        <f>J711</f>
        <v>272 MM</v>
      </c>
      <c r="K715" s="234">
        <v>2</v>
      </c>
      <c r="L715" s="208" t="s">
        <v>81</v>
      </c>
      <c r="M715" s="217">
        <f>K715</f>
        <v>2</v>
      </c>
      <c r="N715" s="208" t="s">
        <v>81</v>
      </c>
      <c r="O715" s="218">
        <v>1</v>
      </c>
      <c r="P715" s="208"/>
      <c r="Q715" s="240">
        <f t="shared" si="162"/>
        <v>2</v>
      </c>
      <c r="R715" s="239">
        <v>1</v>
      </c>
      <c r="S715" s="240">
        <f t="shared" si="149"/>
        <v>3</v>
      </c>
      <c r="T715" s="243" t="s">
        <v>48</v>
      </c>
      <c r="U715" s="196" t="str">
        <f t="shared" si="147"/>
        <v>3 Hrs</v>
      </c>
    </row>
    <row r="716" spans="3:21" s="185" customFormat="1" ht="20.25" customHeight="1">
      <c r="C716" s="198"/>
      <c r="D716" s="203">
        <f t="shared" si="159"/>
        <v>716</v>
      </c>
      <c r="E716" s="207" t="s">
        <v>109</v>
      </c>
      <c r="F716" s="211">
        <f t="shared" si="163"/>
        <v>715</v>
      </c>
      <c r="G716" s="206" t="s">
        <v>44</v>
      </c>
      <c r="H716" s="206"/>
      <c r="I716" s="208"/>
      <c r="J716" s="208"/>
      <c r="K716" s="234">
        <f>K715+K714</f>
        <v>4</v>
      </c>
      <c r="L716" s="208" t="s">
        <v>81</v>
      </c>
      <c r="M716" s="217">
        <f>K716</f>
        <v>4</v>
      </c>
      <c r="N716" s="208" t="s">
        <v>81</v>
      </c>
      <c r="O716" s="218">
        <v>0.5</v>
      </c>
      <c r="P716" s="208"/>
      <c r="Q716" s="240">
        <f t="shared" si="162"/>
        <v>2</v>
      </c>
      <c r="R716" s="239">
        <v>1</v>
      </c>
      <c r="S716" s="240">
        <f t="shared" si="149"/>
        <v>3</v>
      </c>
      <c r="T716" s="243" t="s">
        <v>48</v>
      </c>
      <c r="U716" s="196" t="str">
        <f t="shared" si="147"/>
        <v>3 Hrs</v>
      </c>
    </row>
    <row r="717" spans="3:21" s="185" customFormat="1" ht="20.25" customHeight="1">
      <c r="C717" s="198">
        <f>D717</f>
        <v>717</v>
      </c>
      <c r="D717" s="203">
        <f t="shared" si="159"/>
        <v>717</v>
      </c>
      <c r="E717" s="204" t="s">
        <v>126</v>
      </c>
      <c r="F717" s="210">
        <f>D713</f>
        <v>713</v>
      </c>
      <c r="G717" s="206"/>
      <c r="H717" s="206"/>
      <c r="I717" s="208"/>
      <c r="J717" s="208"/>
      <c r="K717" s="234"/>
      <c r="L717" s="208"/>
      <c r="M717" s="217"/>
      <c r="N717" s="208"/>
      <c r="O717" s="218"/>
      <c r="P717" s="208"/>
      <c r="Q717" s="240"/>
      <c r="R717" s="239"/>
      <c r="S717" s="240"/>
      <c r="T717" s="216"/>
      <c r="U717" s="196"/>
    </row>
    <row r="718" spans="3:21" s="185" customFormat="1" ht="20.25" customHeight="1">
      <c r="C718" s="198"/>
      <c r="D718" s="203">
        <f t="shared" si="159"/>
        <v>718</v>
      </c>
      <c r="E718" s="207" t="s">
        <v>125</v>
      </c>
      <c r="F718" s="211"/>
      <c r="G718" s="206" t="s">
        <v>52</v>
      </c>
      <c r="H718" s="206"/>
      <c r="I718" s="224" t="str">
        <f>I714</f>
        <v>26" nb</v>
      </c>
      <c r="J718" s="208"/>
      <c r="K718" s="234">
        <f>K714</f>
        <v>2</v>
      </c>
      <c r="L718" s="208" t="s">
        <v>81</v>
      </c>
      <c r="M718" s="217">
        <f>K718</f>
        <v>2</v>
      </c>
      <c r="N718" s="208" t="s">
        <v>81</v>
      </c>
      <c r="O718" s="218">
        <v>0</v>
      </c>
      <c r="P718" s="208"/>
      <c r="Q718" s="240">
        <f t="shared" ref="Q718:Q720" si="164">M718*O718</f>
        <v>0</v>
      </c>
      <c r="R718" s="239">
        <v>0</v>
      </c>
      <c r="S718" s="240"/>
      <c r="T718" s="243" t="s">
        <v>48</v>
      </c>
      <c r="U718" s="196"/>
    </row>
    <row r="719" spans="3:21" s="185" customFormat="1" ht="20.25" customHeight="1">
      <c r="C719" s="198"/>
      <c r="D719" s="203">
        <f t="shared" si="159"/>
        <v>719</v>
      </c>
      <c r="E719" s="207" t="s">
        <v>104</v>
      </c>
      <c r="F719" s="211">
        <f t="shared" ref="F719:F720" si="165">D718</f>
        <v>718</v>
      </c>
      <c r="G719" s="206" t="s">
        <v>52</v>
      </c>
      <c r="H719" s="206"/>
      <c r="I719" s="224" t="str">
        <f>I715</f>
        <v>2"nb</v>
      </c>
      <c r="J719" s="208"/>
      <c r="K719" s="234">
        <f>K715</f>
        <v>2</v>
      </c>
      <c r="L719" s="208" t="s">
        <v>81</v>
      </c>
      <c r="M719" s="217">
        <f>K719</f>
        <v>2</v>
      </c>
      <c r="N719" s="208" t="s">
        <v>81</v>
      </c>
      <c r="O719" s="218">
        <v>0</v>
      </c>
      <c r="P719" s="208"/>
      <c r="Q719" s="240">
        <f t="shared" si="164"/>
        <v>0</v>
      </c>
      <c r="R719" s="239">
        <v>0</v>
      </c>
      <c r="S719" s="240"/>
      <c r="T719" s="243" t="s">
        <v>48</v>
      </c>
      <c r="U719" s="196"/>
    </row>
    <row r="720" spans="3:21" s="185" customFormat="1" ht="20.25" customHeight="1">
      <c r="C720" s="198"/>
      <c r="D720" s="203">
        <f t="shared" si="159"/>
        <v>720</v>
      </c>
      <c r="E720" s="207" t="s">
        <v>109</v>
      </c>
      <c r="F720" s="211">
        <f t="shared" si="165"/>
        <v>719</v>
      </c>
      <c r="G720" s="206" t="s">
        <v>52</v>
      </c>
      <c r="H720" s="206"/>
      <c r="I720" s="208"/>
      <c r="J720" s="208"/>
      <c r="K720" s="234">
        <f>K719+K718</f>
        <v>4</v>
      </c>
      <c r="L720" s="208" t="s">
        <v>81</v>
      </c>
      <c r="M720" s="217">
        <f>K720</f>
        <v>4</v>
      </c>
      <c r="N720" s="208" t="s">
        <v>81</v>
      </c>
      <c r="O720" s="218">
        <v>0</v>
      </c>
      <c r="P720" s="208"/>
      <c r="Q720" s="240">
        <f t="shared" si="164"/>
        <v>0</v>
      </c>
      <c r="R720" s="239">
        <v>0</v>
      </c>
      <c r="S720" s="240"/>
      <c r="T720" s="243" t="s">
        <v>48</v>
      </c>
      <c r="U720" s="196"/>
    </row>
    <row r="721" spans="3:21" s="185" customFormat="1" ht="20.25" customHeight="1">
      <c r="C721" s="198">
        <f>D721</f>
        <v>721</v>
      </c>
      <c r="D721" s="203">
        <f t="shared" si="159"/>
        <v>721</v>
      </c>
      <c r="E721" s="204" t="s">
        <v>127</v>
      </c>
      <c r="F721" s="210">
        <f>D717</f>
        <v>717</v>
      </c>
      <c r="G721" s="206"/>
      <c r="H721" s="206"/>
      <c r="I721" s="208"/>
      <c r="J721" s="208"/>
      <c r="K721" s="234"/>
      <c r="L721" s="208"/>
      <c r="M721" s="217"/>
      <c r="N721" s="208"/>
      <c r="O721" s="218"/>
      <c r="P721" s="208"/>
      <c r="Q721" s="240"/>
      <c r="R721" s="239"/>
      <c r="S721" s="240"/>
      <c r="T721" s="216"/>
      <c r="U721" s="196"/>
    </row>
    <row r="722" spans="3:21" s="185" customFormat="1" ht="20.25" customHeight="1">
      <c r="C722" s="198"/>
      <c r="D722" s="203">
        <f t="shared" si="159"/>
        <v>722</v>
      </c>
      <c r="E722" s="207" t="s">
        <v>125</v>
      </c>
      <c r="F722" s="211"/>
      <c r="G722" s="206" t="s">
        <v>121</v>
      </c>
      <c r="H722" s="206"/>
      <c r="I722" s="224" t="str">
        <f>I714</f>
        <v>26" nb</v>
      </c>
      <c r="J722" s="208"/>
      <c r="K722" s="234">
        <f>K714</f>
        <v>2</v>
      </c>
      <c r="L722" s="208" t="s">
        <v>81</v>
      </c>
      <c r="M722" s="217">
        <v>2</v>
      </c>
      <c r="N722" s="208" t="s">
        <v>81</v>
      </c>
      <c r="O722" s="218">
        <v>4</v>
      </c>
      <c r="P722" s="208"/>
      <c r="Q722" s="240">
        <f t="shared" ref="Q722:Q724" si="166">M722*O722</f>
        <v>8</v>
      </c>
      <c r="R722" s="239">
        <v>0</v>
      </c>
      <c r="S722" s="240">
        <f t="shared" si="149"/>
        <v>8</v>
      </c>
      <c r="T722" s="243" t="s">
        <v>48</v>
      </c>
      <c r="U722" s="196" t="str">
        <f t="shared" si="147"/>
        <v>8 Hrs</v>
      </c>
    </row>
    <row r="723" spans="3:21" s="185" customFormat="1" ht="20.25" customHeight="1">
      <c r="C723" s="198"/>
      <c r="D723" s="203">
        <f t="shared" si="159"/>
        <v>723</v>
      </c>
      <c r="E723" s="207" t="s">
        <v>104</v>
      </c>
      <c r="F723" s="211">
        <f t="shared" ref="F723:F724" si="167">D722</f>
        <v>722</v>
      </c>
      <c r="G723" s="206" t="s">
        <v>121</v>
      </c>
      <c r="H723" s="206"/>
      <c r="I723" s="224" t="str">
        <f>I715</f>
        <v>2"nb</v>
      </c>
      <c r="J723" s="208"/>
      <c r="K723" s="234">
        <f>K715</f>
        <v>2</v>
      </c>
      <c r="L723" s="208" t="s">
        <v>81</v>
      </c>
      <c r="M723" s="217">
        <v>2</v>
      </c>
      <c r="N723" s="208" t="s">
        <v>81</v>
      </c>
      <c r="O723" s="218">
        <v>0</v>
      </c>
      <c r="P723" s="208"/>
      <c r="Q723" s="240">
        <f t="shared" si="166"/>
        <v>0</v>
      </c>
      <c r="R723" s="239">
        <v>0</v>
      </c>
      <c r="S723" s="240"/>
      <c r="T723" s="243" t="s">
        <v>48</v>
      </c>
      <c r="U723" s="196"/>
    </row>
    <row r="724" spans="3:21" s="185" customFormat="1" ht="20.25" customHeight="1">
      <c r="C724" s="198"/>
      <c r="D724" s="203">
        <f t="shared" si="159"/>
        <v>724</v>
      </c>
      <c r="E724" s="207" t="s">
        <v>109</v>
      </c>
      <c r="F724" s="211">
        <f t="shared" si="167"/>
        <v>723</v>
      </c>
      <c r="G724" s="206" t="s">
        <v>121</v>
      </c>
      <c r="H724" s="206"/>
      <c r="I724" s="208"/>
      <c r="J724" s="208"/>
      <c r="K724" s="234">
        <f>K723+K722</f>
        <v>4</v>
      </c>
      <c r="L724" s="208" t="s">
        <v>81</v>
      </c>
      <c r="M724" s="217">
        <v>4</v>
      </c>
      <c r="N724" s="208" t="s">
        <v>81</v>
      </c>
      <c r="O724" s="218">
        <v>0</v>
      </c>
      <c r="P724" s="208"/>
      <c r="Q724" s="240">
        <f t="shared" si="166"/>
        <v>0</v>
      </c>
      <c r="R724" s="239">
        <v>0</v>
      </c>
      <c r="S724" s="240"/>
      <c r="T724" s="243" t="s">
        <v>48</v>
      </c>
      <c r="U724" s="196"/>
    </row>
    <row r="725" spans="3:21" s="185" customFormat="1" ht="20.25" customHeight="1">
      <c r="C725" s="198">
        <f>D725</f>
        <v>725</v>
      </c>
      <c r="D725" s="203">
        <f t="shared" si="159"/>
        <v>725</v>
      </c>
      <c r="E725" s="204" t="s">
        <v>128</v>
      </c>
      <c r="F725" s="210">
        <f>D721</f>
        <v>721</v>
      </c>
      <c r="G725" s="206"/>
      <c r="H725" s="206"/>
      <c r="I725" s="208"/>
      <c r="J725" s="208"/>
      <c r="K725" s="234"/>
      <c r="L725" s="208"/>
      <c r="M725" s="217"/>
      <c r="N725" s="208"/>
      <c r="O725" s="218"/>
      <c r="P725" s="208"/>
      <c r="Q725" s="240"/>
      <c r="R725" s="239"/>
      <c r="S725" s="240"/>
      <c r="T725" s="216"/>
      <c r="U725" s="196"/>
    </row>
    <row r="726" spans="3:21" s="185" customFormat="1" ht="20.25" customHeight="1">
      <c r="C726" s="198"/>
      <c r="D726" s="203">
        <f t="shared" si="159"/>
        <v>726</v>
      </c>
      <c r="E726" s="207" t="s">
        <v>125</v>
      </c>
      <c r="F726" s="211"/>
      <c r="G726" s="206" t="s">
        <v>111</v>
      </c>
      <c r="H726" s="206"/>
      <c r="I726" s="224" t="str">
        <f>I714</f>
        <v>26" nb</v>
      </c>
      <c r="J726" s="208"/>
      <c r="K726" s="234">
        <v>2</v>
      </c>
      <c r="L726" s="208" t="s">
        <v>50</v>
      </c>
      <c r="M726" s="217">
        <v>2</v>
      </c>
      <c r="N726" s="208" t="s">
        <v>50</v>
      </c>
      <c r="O726" s="218">
        <v>4</v>
      </c>
      <c r="P726" s="208" t="s">
        <v>112</v>
      </c>
      <c r="Q726" s="240">
        <f t="shared" ref="Q726:Q728" si="168">M726*O726</f>
        <v>8</v>
      </c>
      <c r="R726" s="239">
        <v>1</v>
      </c>
      <c r="S726" s="240">
        <f t="shared" si="149"/>
        <v>9</v>
      </c>
      <c r="T726" s="243" t="s">
        <v>48</v>
      </c>
      <c r="U726" s="196" t="str">
        <f t="shared" si="147"/>
        <v>9 Hrs</v>
      </c>
    </row>
    <row r="727" spans="3:21" s="185" customFormat="1" ht="20.25" customHeight="1">
      <c r="C727" s="198"/>
      <c r="D727" s="203">
        <f t="shared" si="159"/>
        <v>727</v>
      </c>
      <c r="E727" s="207" t="s">
        <v>104</v>
      </c>
      <c r="F727" s="211">
        <f t="shared" ref="F727:F728" si="169">D726</f>
        <v>726</v>
      </c>
      <c r="G727" s="206" t="s">
        <v>111</v>
      </c>
      <c r="H727" s="206"/>
      <c r="I727" s="224" t="str">
        <f>I715</f>
        <v>2"nb</v>
      </c>
      <c r="J727" s="208"/>
      <c r="K727" s="234">
        <v>2</v>
      </c>
      <c r="L727" s="208" t="s">
        <v>50</v>
      </c>
      <c r="M727" s="217">
        <v>2</v>
      </c>
      <c r="N727" s="208" t="s">
        <v>50</v>
      </c>
      <c r="O727" s="218">
        <v>0</v>
      </c>
      <c r="P727" s="208" t="s">
        <v>112</v>
      </c>
      <c r="Q727" s="240">
        <f t="shared" si="168"/>
        <v>0</v>
      </c>
      <c r="R727" s="239">
        <v>1</v>
      </c>
      <c r="S727" s="240">
        <f t="shared" si="149"/>
        <v>1</v>
      </c>
      <c r="T727" s="243" t="s">
        <v>48</v>
      </c>
      <c r="U727" s="196" t="str">
        <f t="shared" si="147"/>
        <v>1 Hrs</v>
      </c>
    </row>
    <row r="728" spans="3:21" s="185" customFormat="1" ht="20.25" customHeight="1">
      <c r="C728" s="198"/>
      <c r="D728" s="203">
        <f t="shared" si="159"/>
        <v>728</v>
      </c>
      <c r="E728" s="207" t="s">
        <v>109</v>
      </c>
      <c r="F728" s="211">
        <f t="shared" si="169"/>
        <v>727</v>
      </c>
      <c r="G728" s="206" t="s">
        <v>111</v>
      </c>
      <c r="H728" s="206"/>
      <c r="I728" s="208"/>
      <c r="J728" s="208"/>
      <c r="K728" s="234">
        <v>4</v>
      </c>
      <c r="L728" s="208" t="s">
        <v>50</v>
      </c>
      <c r="M728" s="217">
        <v>4</v>
      </c>
      <c r="N728" s="208" t="s">
        <v>50</v>
      </c>
      <c r="O728" s="218">
        <v>0.25</v>
      </c>
      <c r="P728" s="208" t="s">
        <v>112</v>
      </c>
      <c r="Q728" s="240">
        <f t="shared" si="168"/>
        <v>1</v>
      </c>
      <c r="R728" s="239">
        <v>1</v>
      </c>
      <c r="S728" s="240">
        <f t="shared" si="149"/>
        <v>2</v>
      </c>
      <c r="T728" s="243" t="s">
        <v>48</v>
      </c>
      <c r="U728" s="196" t="str">
        <f t="shared" si="147"/>
        <v>2 Hrs</v>
      </c>
    </row>
    <row r="729" spans="3:21" s="185" customFormat="1" ht="20.25" customHeight="1">
      <c r="C729" s="198">
        <f>D729</f>
        <v>729</v>
      </c>
      <c r="D729" s="203">
        <f t="shared" si="159"/>
        <v>729</v>
      </c>
      <c r="E729" s="204" t="s">
        <v>129</v>
      </c>
      <c r="F729" s="210">
        <f>D725</f>
        <v>725</v>
      </c>
      <c r="G729" s="206"/>
      <c r="H729" s="206"/>
      <c r="I729" s="208"/>
      <c r="J729" s="208"/>
      <c r="K729" s="234"/>
      <c r="L729" s="208"/>
      <c r="M729" s="217"/>
      <c r="N729" s="208"/>
      <c r="O729" s="218"/>
      <c r="P729" s="208"/>
      <c r="Q729" s="240"/>
      <c r="R729" s="239"/>
      <c r="S729" s="240"/>
      <c r="T729" s="216"/>
      <c r="U729" s="196"/>
    </row>
    <row r="730" spans="3:21" s="185" customFormat="1" ht="20.25" customHeight="1">
      <c r="C730" s="198"/>
      <c r="D730" s="203">
        <f t="shared" si="159"/>
        <v>730</v>
      </c>
      <c r="E730" s="207" t="s">
        <v>125</v>
      </c>
      <c r="F730" s="211"/>
      <c r="G730" s="206" t="s">
        <v>115</v>
      </c>
      <c r="H730" s="206"/>
      <c r="I730" s="224" t="s">
        <v>116</v>
      </c>
      <c r="J730" s="234" t="s">
        <v>117</v>
      </c>
      <c r="K730" s="234">
        <v>2</v>
      </c>
      <c r="L730" s="208" t="s">
        <v>50</v>
      </c>
      <c r="M730" s="227">
        <f>LEFT(J730,SEARCH(" ",J730,1)-1)*K730*0.001</f>
        <v>6.1080000000000005</v>
      </c>
      <c r="N730" s="208" t="s">
        <v>50</v>
      </c>
      <c r="O730" s="246">
        <f>6.12</f>
        <v>6.12</v>
      </c>
      <c r="P730" s="208" t="s">
        <v>112</v>
      </c>
      <c r="Q730" s="240">
        <f>M730*O730</f>
        <v>37.380960000000002</v>
      </c>
      <c r="R730" s="239">
        <v>1</v>
      </c>
      <c r="S730" s="240">
        <f t="shared" si="149"/>
        <v>38.380000000000003</v>
      </c>
      <c r="T730" s="243" t="s">
        <v>48</v>
      </c>
      <c r="U730" s="196" t="str">
        <f t="shared" si="147"/>
        <v>38.38 Hrs</v>
      </c>
    </row>
    <row r="731" spans="3:21" s="185" customFormat="1" ht="20.25" customHeight="1">
      <c r="C731" s="198"/>
      <c r="D731" s="203">
        <f t="shared" si="159"/>
        <v>731</v>
      </c>
      <c r="E731" s="207" t="s">
        <v>104</v>
      </c>
      <c r="F731" s="211">
        <f t="shared" ref="F731:F732" si="170">D730</f>
        <v>730</v>
      </c>
      <c r="G731" s="206" t="s">
        <v>115</v>
      </c>
      <c r="H731" s="206"/>
      <c r="I731" s="224" t="str">
        <f>I719</f>
        <v>2"nb</v>
      </c>
      <c r="J731" s="234" t="s">
        <v>118</v>
      </c>
      <c r="K731" s="234">
        <v>2</v>
      </c>
      <c r="L731" s="208" t="s">
        <v>50</v>
      </c>
      <c r="M731" s="217">
        <v>0</v>
      </c>
      <c r="N731" s="208" t="s">
        <v>50</v>
      </c>
      <c r="O731" s="246"/>
      <c r="P731" s="208" t="s">
        <v>112</v>
      </c>
      <c r="Q731" s="240">
        <f t="shared" ref="Q731:Q732" si="171">M731*O731</f>
        <v>0</v>
      </c>
      <c r="R731" s="239"/>
      <c r="S731" s="240"/>
      <c r="T731" s="243" t="s">
        <v>48</v>
      </c>
      <c r="U731" s="196"/>
    </row>
    <row r="732" spans="3:21" s="185" customFormat="1" ht="20.25" customHeight="1">
      <c r="C732" s="198"/>
      <c r="D732" s="203">
        <f t="shared" si="159"/>
        <v>732</v>
      </c>
      <c r="E732" s="207" t="s">
        <v>109</v>
      </c>
      <c r="F732" s="211">
        <f t="shared" si="170"/>
        <v>731</v>
      </c>
      <c r="G732" s="206" t="s">
        <v>115</v>
      </c>
      <c r="H732" s="206"/>
      <c r="I732" s="208"/>
      <c r="J732" s="208"/>
      <c r="K732" s="234">
        <v>4</v>
      </c>
      <c r="L732" s="208" t="s">
        <v>50</v>
      </c>
      <c r="M732" s="217">
        <v>4</v>
      </c>
      <c r="N732" s="208" t="s">
        <v>50</v>
      </c>
      <c r="O732" s="218">
        <v>0.25</v>
      </c>
      <c r="P732" s="208" t="s">
        <v>112</v>
      </c>
      <c r="Q732" s="240">
        <f t="shared" si="171"/>
        <v>1</v>
      </c>
      <c r="R732" s="239">
        <v>1</v>
      </c>
      <c r="S732" s="240">
        <f t="shared" si="149"/>
        <v>2</v>
      </c>
      <c r="T732" s="243" t="s">
        <v>48</v>
      </c>
      <c r="U732" s="196" t="str">
        <f t="shared" ref="U732:U793" si="172">CONCATENATE(S732," ",T732)</f>
        <v>2 Hrs</v>
      </c>
    </row>
    <row r="733" spans="3:21" s="185" customFormat="1" ht="20.25" customHeight="1">
      <c r="C733" s="198">
        <f>D733</f>
        <v>733</v>
      </c>
      <c r="D733" s="203">
        <f t="shared" si="159"/>
        <v>733</v>
      </c>
      <c r="E733" s="204" t="s">
        <v>130</v>
      </c>
      <c r="F733" s="210">
        <f>D729</f>
        <v>729</v>
      </c>
      <c r="G733" s="206"/>
      <c r="H733" s="206"/>
      <c r="I733" s="208"/>
      <c r="J733" s="208"/>
      <c r="K733" s="234"/>
      <c r="L733" s="208"/>
      <c r="M733" s="217"/>
      <c r="N733" s="208"/>
      <c r="O733" s="218"/>
      <c r="P733" s="208"/>
      <c r="Q733" s="240"/>
      <c r="R733" s="239"/>
      <c r="S733" s="240"/>
      <c r="T733" s="216"/>
      <c r="U733" s="196"/>
    </row>
    <row r="734" spans="3:21" s="185" customFormat="1" ht="20.25" customHeight="1">
      <c r="C734" s="198"/>
      <c r="D734" s="203">
        <f t="shared" si="159"/>
        <v>734</v>
      </c>
      <c r="E734" s="207" t="s">
        <v>125</v>
      </c>
      <c r="F734" s="211"/>
      <c r="G734" s="206" t="s">
        <v>44</v>
      </c>
      <c r="H734" s="206"/>
      <c r="I734" s="224" t="str">
        <f>I722</f>
        <v>26" nb</v>
      </c>
      <c r="J734" s="208"/>
      <c r="K734" s="234">
        <v>2</v>
      </c>
      <c r="L734" s="208" t="s">
        <v>50</v>
      </c>
      <c r="M734" s="217">
        <v>1</v>
      </c>
      <c r="N734" s="208" t="s">
        <v>50</v>
      </c>
      <c r="O734" s="246">
        <v>4</v>
      </c>
      <c r="P734" s="208" t="s">
        <v>112</v>
      </c>
      <c r="Q734" s="240">
        <f t="shared" ref="Q734:Q736" si="173">M734*O734</f>
        <v>4</v>
      </c>
      <c r="R734" s="239">
        <v>1</v>
      </c>
      <c r="S734" s="240">
        <f t="shared" ref="S734:S796" si="174">ROUND(Q734+R734,2)</f>
        <v>5</v>
      </c>
      <c r="T734" s="243" t="s">
        <v>48</v>
      </c>
      <c r="U734" s="196" t="str">
        <f t="shared" si="172"/>
        <v>5 Hrs</v>
      </c>
    </row>
    <row r="735" spans="3:21" s="185" customFormat="1" ht="20.25" customHeight="1">
      <c r="C735" s="198"/>
      <c r="D735" s="203">
        <f t="shared" si="159"/>
        <v>735</v>
      </c>
      <c r="E735" s="207" t="s">
        <v>104</v>
      </c>
      <c r="F735" s="211">
        <f t="shared" ref="F735:F736" si="175">D734</f>
        <v>734</v>
      </c>
      <c r="G735" s="206" t="s">
        <v>44</v>
      </c>
      <c r="H735" s="206"/>
      <c r="I735" s="224" t="str">
        <f>I723</f>
        <v>2"nb</v>
      </c>
      <c r="J735" s="208"/>
      <c r="K735" s="234">
        <v>2</v>
      </c>
      <c r="L735" s="208" t="s">
        <v>50</v>
      </c>
      <c r="M735" s="217">
        <v>1</v>
      </c>
      <c r="N735" s="208" t="s">
        <v>50</v>
      </c>
      <c r="O735" s="246">
        <v>1</v>
      </c>
      <c r="P735" s="208" t="s">
        <v>112</v>
      </c>
      <c r="Q735" s="240">
        <f t="shared" si="173"/>
        <v>1</v>
      </c>
      <c r="R735" s="239">
        <v>1</v>
      </c>
      <c r="S735" s="240">
        <f t="shared" si="174"/>
        <v>2</v>
      </c>
      <c r="T735" s="243" t="s">
        <v>48</v>
      </c>
      <c r="U735" s="196" t="str">
        <f t="shared" si="172"/>
        <v>2 Hrs</v>
      </c>
    </row>
    <row r="736" spans="3:21" s="185" customFormat="1" ht="20.25" customHeight="1">
      <c r="C736" s="198"/>
      <c r="D736" s="203">
        <f t="shared" si="159"/>
        <v>736</v>
      </c>
      <c r="E736" s="207" t="s">
        <v>109</v>
      </c>
      <c r="F736" s="211">
        <f t="shared" si="175"/>
        <v>735</v>
      </c>
      <c r="G736" s="206" t="s">
        <v>44</v>
      </c>
      <c r="H736" s="206"/>
      <c r="I736" s="208"/>
      <c r="J736" s="208"/>
      <c r="K736" s="234">
        <v>4</v>
      </c>
      <c r="L736" s="208" t="s">
        <v>50</v>
      </c>
      <c r="M736" s="217">
        <v>1</v>
      </c>
      <c r="N736" s="208" t="s">
        <v>50</v>
      </c>
      <c r="O736" s="218">
        <v>1</v>
      </c>
      <c r="P736" s="208" t="s">
        <v>112</v>
      </c>
      <c r="Q736" s="240">
        <f t="shared" si="173"/>
        <v>1</v>
      </c>
      <c r="R736" s="239">
        <v>1</v>
      </c>
      <c r="S736" s="240">
        <f t="shared" si="174"/>
        <v>2</v>
      </c>
      <c r="T736" s="243" t="s">
        <v>48</v>
      </c>
      <c r="U736" s="196" t="str">
        <f t="shared" si="172"/>
        <v>2 Hrs</v>
      </c>
    </row>
    <row r="737" spans="3:21" s="185" customFormat="1" ht="20.25" customHeight="1">
      <c r="C737" s="198">
        <f>D737</f>
        <v>737</v>
      </c>
      <c r="D737" s="203">
        <f t="shared" si="159"/>
        <v>737</v>
      </c>
      <c r="E737" s="204" t="s">
        <v>131</v>
      </c>
      <c r="F737" s="210">
        <f>D733</f>
        <v>733</v>
      </c>
      <c r="G737" s="206"/>
      <c r="H737" s="206"/>
      <c r="I737" s="208"/>
      <c r="J737" s="208"/>
      <c r="K737" s="234"/>
      <c r="L737" s="208"/>
      <c r="M737" s="217"/>
      <c r="N737" s="208"/>
      <c r="O737" s="218"/>
      <c r="P737" s="208"/>
      <c r="Q737" s="240"/>
      <c r="R737" s="239"/>
      <c r="S737" s="240"/>
      <c r="T737" s="216"/>
      <c r="U737" s="196"/>
    </row>
    <row r="738" spans="3:21" s="185" customFormat="1" ht="20.25" customHeight="1">
      <c r="C738" s="198"/>
      <c r="D738" s="203">
        <f t="shared" si="159"/>
        <v>738</v>
      </c>
      <c r="E738" s="207" t="s">
        <v>125</v>
      </c>
      <c r="F738" s="211"/>
      <c r="G738" s="206" t="s">
        <v>44</v>
      </c>
      <c r="H738" s="206"/>
      <c r="I738" s="224" t="str">
        <f>I726</f>
        <v>26" nb</v>
      </c>
      <c r="J738" s="208"/>
      <c r="K738" s="234">
        <v>2</v>
      </c>
      <c r="L738" s="208" t="s">
        <v>50</v>
      </c>
      <c r="M738" s="217">
        <v>0</v>
      </c>
      <c r="N738" s="208" t="s">
        <v>50</v>
      </c>
      <c r="O738" s="246"/>
      <c r="P738" s="208" t="s">
        <v>112</v>
      </c>
      <c r="Q738" s="240">
        <f t="shared" ref="Q738:Q740" si="176">M738*O738</f>
        <v>0</v>
      </c>
      <c r="R738" s="239">
        <v>1</v>
      </c>
      <c r="S738" s="240">
        <f t="shared" si="174"/>
        <v>1</v>
      </c>
      <c r="T738" s="243" t="s">
        <v>48</v>
      </c>
      <c r="U738" s="196" t="str">
        <f t="shared" si="172"/>
        <v>1 Hrs</v>
      </c>
    </row>
    <row r="739" spans="3:21" s="185" customFormat="1" ht="20.25" customHeight="1">
      <c r="C739" s="198"/>
      <c r="D739" s="203">
        <f t="shared" si="159"/>
        <v>739</v>
      </c>
      <c r="E739" s="207" t="s">
        <v>104</v>
      </c>
      <c r="F739" s="211">
        <f t="shared" ref="F739:F740" si="177">D738</f>
        <v>738</v>
      </c>
      <c r="G739" s="206" t="s">
        <v>44</v>
      </c>
      <c r="H739" s="206"/>
      <c r="I739" s="224" t="str">
        <f>I727</f>
        <v>2"nb</v>
      </c>
      <c r="J739" s="208"/>
      <c r="K739" s="234">
        <v>2</v>
      </c>
      <c r="L739" s="208" t="s">
        <v>50</v>
      </c>
      <c r="M739" s="217">
        <v>0</v>
      </c>
      <c r="N739" s="208" t="s">
        <v>50</v>
      </c>
      <c r="O739" s="246"/>
      <c r="P739" s="208" t="s">
        <v>112</v>
      </c>
      <c r="Q739" s="240">
        <f t="shared" si="176"/>
        <v>0</v>
      </c>
      <c r="R739" s="239">
        <v>1</v>
      </c>
      <c r="S739" s="240">
        <f t="shared" si="174"/>
        <v>1</v>
      </c>
      <c r="T739" s="243" t="s">
        <v>48</v>
      </c>
      <c r="U739" s="196" t="str">
        <f t="shared" si="172"/>
        <v>1 Hrs</v>
      </c>
    </row>
    <row r="740" spans="3:21" s="185" customFormat="1" ht="20.25" customHeight="1">
      <c r="C740" s="198"/>
      <c r="D740" s="203">
        <f t="shared" si="159"/>
        <v>740</v>
      </c>
      <c r="E740" s="207" t="s">
        <v>109</v>
      </c>
      <c r="F740" s="211">
        <f t="shared" si="177"/>
        <v>739</v>
      </c>
      <c r="G740" s="206" t="s">
        <v>44</v>
      </c>
      <c r="H740" s="206"/>
      <c r="I740" s="208"/>
      <c r="J740" s="208"/>
      <c r="K740" s="234">
        <v>4</v>
      </c>
      <c r="L740" s="208" t="s">
        <v>50</v>
      </c>
      <c r="M740" s="217">
        <v>0</v>
      </c>
      <c r="N740" s="208" t="s">
        <v>50</v>
      </c>
      <c r="O740" s="218"/>
      <c r="P740" s="208" t="s">
        <v>112</v>
      </c>
      <c r="Q740" s="240">
        <f t="shared" si="176"/>
        <v>0</v>
      </c>
      <c r="R740" s="239">
        <v>1</v>
      </c>
      <c r="S740" s="240">
        <f t="shared" si="174"/>
        <v>1</v>
      </c>
      <c r="T740" s="243" t="s">
        <v>48</v>
      </c>
      <c r="U740" s="196" t="str">
        <f t="shared" si="172"/>
        <v>1 Hrs</v>
      </c>
    </row>
    <row r="741" spans="3:21" s="185" customFormat="1" ht="20.25" customHeight="1">
      <c r="C741" s="198">
        <f>D741</f>
        <v>741</v>
      </c>
      <c r="D741" s="203">
        <f t="shared" si="159"/>
        <v>741</v>
      </c>
      <c r="E741" s="204" t="s">
        <v>132</v>
      </c>
      <c r="F741" s="210">
        <f>D737</f>
        <v>737</v>
      </c>
      <c r="G741" s="206"/>
      <c r="H741" s="206"/>
      <c r="I741" s="208"/>
      <c r="J741" s="208"/>
      <c r="K741" s="234"/>
      <c r="L741" s="208"/>
      <c r="M741" s="217"/>
      <c r="N741" s="208"/>
      <c r="O741" s="218"/>
      <c r="P741" s="208"/>
      <c r="Q741" s="240"/>
      <c r="R741" s="239"/>
      <c r="S741" s="240"/>
      <c r="T741" s="216"/>
      <c r="U741" s="196"/>
    </row>
    <row r="742" spans="3:21" s="185" customFormat="1" ht="20.25" customHeight="1">
      <c r="C742" s="198"/>
      <c r="D742" s="203">
        <f t="shared" si="159"/>
        <v>742</v>
      </c>
      <c r="E742" s="207" t="s">
        <v>125</v>
      </c>
      <c r="F742" s="211"/>
      <c r="G742" s="206" t="s">
        <v>121</v>
      </c>
      <c r="H742" s="206"/>
      <c r="I742" s="224" t="s">
        <v>123</v>
      </c>
      <c r="J742" s="208" t="str">
        <f>J730</f>
        <v>3054 mm</v>
      </c>
      <c r="K742" s="234">
        <v>2</v>
      </c>
      <c r="L742" s="208" t="s">
        <v>50</v>
      </c>
      <c r="M742" s="227">
        <f>LEFT(J742,SEARCH(" ",J742,1)-1)*K742*0.001</f>
        <v>6.1080000000000005</v>
      </c>
      <c r="N742" s="208" t="s">
        <v>50</v>
      </c>
      <c r="O742" s="246">
        <v>1</v>
      </c>
      <c r="P742" s="208" t="s">
        <v>112</v>
      </c>
      <c r="Q742" s="240">
        <f t="shared" ref="Q742:Q744" si="178">M742*O742</f>
        <v>6.1080000000000005</v>
      </c>
      <c r="R742" s="239">
        <v>1</v>
      </c>
      <c r="S742" s="240">
        <f t="shared" si="174"/>
        <v>7.11</v>
      </c>
      <c r="T742" s="243" t="s">
        <v>48</v>
      </c>
      <c r="U742" s="196" t="str">
        <f t="shared" si="172"/>
        <v>7.11 Hrs</v>
      </c>
    </row>
    <row r="743" spans="3:21" s="185" customFormat="1" ht="20.25" customHeight="1">
      <c r="C743" s="198"/>
      <c r="D743" s="203">
        <f t="shared" si="159"/>
        <v>743</v>
      </c>
      <c r="E743" s="207" t="s">
        <v>104</v>
      </c>
      <c r="F743" s="211">
        <f t="shared" ref="F743:F744" si="179">D742</f>
        <v>742</v>
      </c>
      <c r="G743" s="206" t="s">
        <v>121</v>
      </c>
      <c r="H743" s="206"/>
      <c r="I743" s="224">
        <v>18</v>
      </c>
      <c r="J743" s="211" t="str">
        <f>J731</f>
        <v>272 MM</v>
      </c>
      <c r="K743" s="234">
        <v>2</v>
      </c>
      <c r="L743" s="208" t="s">
        <v>50</v>
      </c>
      <c r="M743" s="227">
        <f>LEFT(J743,SEARCH(" ",J743,1)-1)*K743*0.001</f>
        <v>0.54400000000000004</v>
      </c>
      <c r="N743" s="208" t="s">
        <v>50</v>
      </c>
      <c r="O743" s="246">
        <v>0.5</v>
      </c>
      <c r="P743" s="208" t="s">
        <v>112</v>
      </c>
      <c r="Q743" s="240">
        <f t="shared" si="178"/>
        <v>0.27200000000000002</v>
      </c>
      <c r="R743" s="239">
        <v>1</v>
      </c>
      <c r="S743" s="240">
        <f t="shared" si="174"/>
        <v>1.27</v>
      </c>
      <c r="T743" s="243" t="s">
        <v>48</v>
      </c>
      <c r="U743" s="196" t="str">
        <f t="shared" si="172"/>
        <v>1.27 Hrs</v>
      </c>
    </row>
    <row r="744" spans="3:21" s="185" customFormat="1" ht="20.25" customHeight="1">
      <c r="C744" s="198"/>
      <c r="D744" s="203">
        <f t="shared" si="159"/>
        <v>744</v>
      </c>
      <c r="E744" s="207" t="s">
        <v>109</v>
      </c>
      <c r="F744" s="211">
        <f t="shared" si="179"/>
        <v>743</v>
      </c>
      <c r="G744" s="206" t="s">
        <v>121</v>
      </c>
      <c r="H744" s="206"/>
      <c r="I744" s="208"/>
      <c r="J744" s="208"/>
      <c r="K744" s="234">
        <v>4</v>
      </c>
      <c r="L744" s="208" t="s">
        <v>50</v>
      </c>
      <c r="M744" s="217">
        <v>1</v>
      </c>
      <c r="N744" s="208" t="s">
        <v>50</v>
      </c>
      <c r="O744" s="218">
        <v>1</v>
      </c>
      <c r="P744" s="208" t="s">
        <v>112</v>
      </c>
      <c r="Q744" s="240">
        <f t="shared" si="178"/>
        <v>1</v>
      </c>
      <c r="R744" s="239">
        <v>1</v>
      </c>
      <c r="S744" s="240">
        <f t="shared" si="174"/>
        <v>2</v>
      </c>
      <c r="T744" s="243" t="s">
        <v>48</v>
      </c>
      <c r="U744" s="196" t="str">
        <f t="shared" si="172"/>
        <v>2 Hrs</v>
      </c>
    </row>
    <row r="745" spans="3:21" s="185" customFormat="1" ht="20.25" customHeight="1">
      <c r="C745" s="198">
        <f t="shared" ref="C745:C746" si="180">D745</f>
        <v>745</v>
      </c>
      <c r="D745" s="203">
        <f t="shared" si="159"/>
        <v>745</v>
      </c>
      <c r="E745" s="204" t="s">
        <v>133</v>
      </c>
      <c r="F745" s="210"/>
      <c r="G745" s="206"/>
      <c r="H745" s="206"/>
      <c r="I745" s="208"/>
      <c r="J745" s="208"/>
      <c r="K745" s="234"/>
      <c r="L745" s="208"/>
      <c r="M745" s="217"/>
      <c r="N745" s="208"/>
      <c r="O745" s="218"/>
      <c r="P745" s="208"/>
      <c r="Q745" s="240"/>
      <c r="R745" s="239"/>
      <c r="S745" s="240"/>
      <c r="T745" s="216"/>
      <c r="U745" s="196"/>
    </row>
    <row r="746" spans="3:21" s="185" customFormat="1" ht="20.25" customHeight="1">
      <c r="C746" s="198">
        <f t="shared" si="180"/>
        <v>746</v>
      </c>
      <c r="D746" s="203">
        <f t="shared" si="159"/>
        <v>746</v>
      </c>
      <c r="E746" s="204" t="s">
        <v>134</v>
      </c>
      <c r="F746" s="210">
        <f>D745</f>
        <v>745</v>
      </c>
      <c r="G746" s="206"/>
      <c r="H746" s="206"/>
      <c r="I746" s="208"/>
      <c r="J746" s="208"/>
      <c r="K746" s="234"/>
      <c r="L746" s="208"/>
      <c r="M746" s="217"/>
      <c r="N746" s="208"/>
      <c r="O746" s="218"/>
      <c r="P746" s="208"/>
      <c r="Q746" s="240"/>
      <c r="R746" s="239"/>
      <c r="S746" s="240"/>
      <c r="T746" s="216"/>
      <c r="U746" s="196"/>
    </row>
    <row r="747" spans="3:21" s="185" customFormat="1" ht="20.25" customHeight="1">
      <c r="C747" s="198"/>
      <c r="D747" s="203">
        <f t="shared" si="159"/>
        <v>747</v>
      </c>
      <c r="E747" s="207" t="s">
        <v>135</v>
      </c>
      <c r="F747" s="211"/>
      <c r="G747" s="206"/>
      <c r="H747" s="206"/>
      <c r="I747" s="208"/>
      <c r="J747" s="208"/>
      <c r="K747" s="234">
        <v>1</v>
      </c>
      <c r="L747" s="208" t="s">
        <v>84</v>
      </c>
      <c r="M747" s="217">
        <v>1</v>
      </c>
      <c r="N747" s="208" t="s">
        <v>84</v>
      </c>
      <c r="O747" s="218">
        <v>4</v>
      </c>
      <c r="P747" s="208" t="s">
        <v>41</v>
      </c>
      <c r="Q747" s="240">
        <f t="shared" ref="Q747:Q750" si="181">M747*O747</f>
        <v>4</v>
      </c>
      <c r="R747" s="239">
        <v>0</v>
      </c>
      <c r="S747" s="240">
        <f t="shared" si="174"/>
        <v>4</v>
      </c>
      <c r="T747" s="216" t="s">
        <v>42</v>
      </c>
      <c r="U747" s="196" t="str">
        <f t="shared" si="172"/>
        <v>4 Days</v>
      </c>
    </row>
    <row r="748" spans="3:21" s="185" customFormat="1" ht="20.25" customHeight="1">
      <c r="C748" s="198"/>
      <c r="D748" s="203">
        <f t="shared" si="159"/>
        <v>748</v>
      </c>
      <c r="E748" s="207" t="s">
        <v>136</v>
      </c>
      <c r="F748" s="211">
        <f t="shared" ref="F748:F750" si="182">D747</f>
        <v>747</v>
      </c>
      <c r="G748" s="206" t="s">
        <v>44</v>
      </c>
      <c r="H748" s="206"/>
      <c r="I748" s="224" t="s">
        <v>137</v>
      </c>
      <c r="J748" s="234" t="s">
        <v>138</v>
      </c>
      <c r="K748" s="234">
        <v>1</v>
      </c>
      <c r="L748" s="208" t="s">
        <v>84</v>
      </c>
      <c r="M748" s="227">
        <f>LEFT(J748,SEARCH(" ",J748,1)-1)*K748</f>
        <v>9</v>
      </c>
      <c r="N748" s="208" t="s">
        <v>139</v>
      </c>
      <c r="O748" s="246">
        <v>0.25</v>
      </c>
      <c r="P748" s="208" t="s">
        <v>112</v>
      </c>
      <c r="Q748" s="240">
        <f t="shared" si="181"/>
        <v>2.25</v>
      </c>
      <c r="R748" s="239">
        <v>1</v>
      </c>
      <c r="S748" s="240">
        <f t="shared" si="174"/>
        <v>3.25</v>
      </c>
      <c r="T748" s="243" t="s">
        <v>48</v>
      </c>
      <c r="U748" s="196" t="str">
        <f t="shared" si="172"/>
        <v>3.25 Hrs</v>
      </c>
    </row>
    <row r="749" spans="3:21" s="185" customFormat="1" ht="20.25" customHeight="1">
      <c r="C749" s="198"/>
      <c r="D749" s="203">
        <f t="shared" si="159"/>
        <v>749</v>
      </c>
      <c r="E749" s="207" t="s">
        <v>140</v>
      </c>
      <c r="F749" s="211">
        <f t="shared" si="182"/>
        <v>748</v>
      </c>
      <c r="G749" s="206" t="s">
        <v>44</v>
      </c>
      <c r="H749" s="206"/>
      <c r="I749" s="224" t="str">
        <f>I748</f>
        <v>30/25</v>
      </c>
      <c r="J749" s="234" t="s">
        <v>141</v>
      </c>
      <c r="K749" s="225">
        <v>1</v>
      </c>
      <c r="L749" s="208" t="s">
        <v>84</v>
      </c>
      <c r="M749" s="227">
        <f t="shared" ref="M749:M750" si="183">LEFT(J749,SEARCH(" ",J749,1)-1)*K749</f>
        <v>29</v>
      </c>
      <c r="N749" s="208" t="s">
        <v>139</v>
      </c>
      <c r="O749" s="246">
        <v>0.25</v>
      </c>
      <c r="P749" s="208" t="s">
        <v>112</v>
      </c>
      <c r="Q749" s="240">
        <f t="shared" si="181"/>
        <v>7.25</v>
      </c>
      <c r="R749" s="239">
        <v>1</v>
      </c>
      <c r="S749" s="240">
        <f t="shared" si="174"/>
        <v>8.25</v>
      </c>
      <c r="T749" s="243" t="s">
        <v>48</v>
      </c>
      <c r="U749" s="196" t="str">
        <f t="shared" si="172"/>
        <v>8.25 Hrs</v>
      </c>
    </row>
    <row r="750" spans="3:21" s="185" customFormat="1" ht="20.25" customHeight="1">
      <c r="C750" s="198"/>
      <c r="D750" s="203">
        <f t="shared" si="159"/>
        <v>750</v>
      </c>
      <c r="E750" s="207" t="s">
        <v>142</v>
      </c>
      <c r="F750" s="211">
        <f t="shared" si="182"/>
        <v>749</v>
      </c>
      <c r="G750" s="206" t="s">
        <v>44</v>
      </c>
      <c r="H750" s="206"/>
      <c r="I750" s="224">
        <v>25</v>
      </c>
      <c r="J750" s="234" t="s">
        <v>143</v>
      </c>
      <c r="K750" s="234">
        <v>1</v>
      </c>
      <c r="L750" s="208" t="s">
        <v>84</v>
      </c>
      <c r="M750" s="227">
        <f t="shared" si="183"/>
        <v>10.5</v>
      </c>
      <c r="N750" s="208" t="s">
        <v>139</v>
      </c>
      <c r="O750" s="246">
        <v>0.25</v>
      </c>
      <c r="P750" s="208" t="s">
        <v>112</v>
      </c>
      <c r="Q750" s="240">
        <f t="shared" si="181"/>
        <v>2.625</v>
      </c>
      <c r="R750" s="239">
        <v>1</v>
      </c>
      <c r="S750" s="240">
        <f t="shared" si="174"/>
        <v>3.63</v>
      </c>
      <c r="T750" s="243" t="s">
        <v>48</v>
      </c>
      <c r="U750" s="196" t="str">
        <f t="shared" si="172"/>
        <v>3.63 Hrs</v>
      </c>
    </row>
    <row r="751" spans="3:21" s="185" customFormat="1" ht="20.25" customHeight="1">
      <c r="C751" s="198">
        <f>D751</f>
        <v>751</v>
      </c>
      <c r="D751" s="203">
        <f t="shared" si="159"/>
        <v>751</v>
      </c>
      <c r="E751" s="204" t="s">
        <v>144</v>
      </c>
      <c r="F751" s="210">
        <f>D746</f>
        <v>746</v>
      </c>
      <c r="G751" s="206"/>
      <c r="H751" s="206"/>
      <c r="I751" s="208"/>
      <c r="J751" s="208"/>
      <c r="K751" s="234"/>
      <c r="L751" s="208"/>
      <c r="M751" s="217"/>
      <c r="N751" s="208"/>
      <c r="O751" s="218"/>
      <c r="P751" s="208"/>
      <c r="Q751" s="240"/>
      <c r="R751" s="239"/>
      <c r="S751" s="240"/>
      <c r="T751" s="216"/>
      <c r="U751" s="196"/>
    </row>
    <row r="752" spans="3:21" s="185" customFormat="1" ht="20.25" customHeight="1">
      <c r="C752" s="198"/>
      <c r="D752" s="203">
        <f t="shared" si="159"/>
        <v>752</v>
      </c>
      <c r="E752" s="207" t="s">
        <v>145</v>
      </c>
      <c r="F752" s="211"/>
      <c r="G752" s="206" t="s">
        <v>52</v>
      </c>
      <c r="H752" s="206"/>
      <c r="I752" s="233" t="str">
        <f t="shared" ref="I752:J752" si="184">I748</f>
        <v>30/25</v>
      </c>
      <c r="J752" s="211" t="str">
        <f t="shared" si="184"/>
        <v>9 rmt</v>
      </c>
      <c r="K752" s="225">
        <f t="shared" ref="K752" si="185">K748</f>
        <v>1</v>
      </c>
      <c r="L752" s="208" t="s">
        <v>81</v>
      </c>
      <c r="M752" s="227">
        <f t="shared" ref="M752:M754" si="186">LEFT(J752,SEARCH(" ",J752,1)-1)*K752</f>
        <v>9</v>
      </c>
      <c r="N752" s="208" t="s">
        <v>139</v>
      </c>
      <c r="O752" s="246">
        <v>0.5</v>
      </c>
      <c r="P752" s="208" t="s">
        <v>112</v>
      </c>
      <c r="Q752" s="240">
        <f t="shared" ref="Q752:Q755" si="187">M752*O752</f>
        <v>4.5</v>
      </c>
      <c r="R752" s="239">
        <v>1</v>
      </c>
      <c r="S752" s="240">
        <f t="shared" si="174"/>
        <v>5.5</v>
      </c>
      <c r="T752" s="216" t="s">
        <v>48</v>
      </c>
      <c r="U752" s="196" t="str">
        <f t="shared" si="172"/>
        <v>5.5 Hrs</v>
      </c>
    </row>
    <row r="753" spans="3:21" s="185" customFormat="1" ht="20.25" customHeight="1">
      <c r="C753" s="198"/>
      <c r="D753" s="203">
        <f t="shared" si="159"/>
        <v>753</v>
      </c>
      <c r="E753" s="207" t="s">
        <v>146</v>
      </c>
      <c r="F753" s="211">
        <f t="shared" ref="F753:F755" si="188">D752</f>
        <v>752</v>
      </c>
      <c r="G753" s="206" t="s">
        <v>52</v>
      </c>
      <c r="H753" s="206"/>
      <c r="I753" s="233" t="str">
        <f t="shared" ref="I753:J753" si="189">I749</f>
        <v>30/25</v>
      </c>
      <c r="J753" s="211" t="str">
        <f t="shared" si="189"/>
        <v>29 rmt</v>
      </c>
      <c r="K753" s="225">
        <f t="shared" ref="K753" si="190">K749</f>
        <v>1</v>
      </c>
      <c r="L753" s="208" t="s">
        <v>81</v>
      </c>
      <c r="M753" s="227">
        <f t="shared" si="186"/>
        <v>29</v>
      </c>
      <c r="N753" s="208" t="s">
        <v>139</v>
      </c>
      <c r="O753" s="246">
        <v>0.5</v>
      </c>
      <c r="P753" s="208" t="s">
        <v>112</v>
      </c>
      <c r="Q753" s="240">
        <f t="shared" si="187"/>
        <v>14.5</v>
      </c>
      <c r="R753" s="239">
        <v>1</v>
      </c>
      <c r="S753" s="240">
        <f t="shared" si="174"/>
        <v>15.5</v>
      </c>
      <c r="T753" s="216" t="s">
        <v>48</v>
      </c>
      <c r="U753" s="196" t="str">
        <f t="shared" si="172"/>
        <v>15.5 Hrs</v>
      </c>
    </row>
    <row r="754" spans="3:21" s="185" customFormat="1" ht="20.25" customHeight="1">
      <c r="C754" s="198"/>
      <c r="D754" s="203">
        <f t="shared" si="159"/>
        <v>754</v>
      </c>
      <c r="E754" s="207" t="s">
        <v>147</v>
      </c>
      <c r="F754" s="211">
        <f t="shared" si="188"/>
        <v>753</v>
      </c>
      <c r="G754" s="206" t="s">
        <v>52</v>
      </c>
      <c r="H754" s="206"/>
      <c r="I754" s="233">
        <f t="shared" ref="I754:J754" si="191">I750</f>
        <v>25</v>
      </c>
      <c r="J754" s="211" t="str">
        <f t="shared" si="191"/>
        <v>10.5 Rmt</v>
      </c>
      <c r="K754" s="225">
        <f t="shared" ref="K754" si="192">K750</f>
        <v>1</v>
      </c>
      <c r="L754" s="208" t="s">
        <v>81</v>
      </c>
      <c r="M754" s="227">
        <f t="shared" si="186"/>
        <v>10.5</v>
      </c>
      <c r="N754" s="208" t="s">
        <v>139</v>
      </c>
      <c r="O754" s="246">
        <f>VLOOKUP(I754,BM!$A$2:$X$104,3,FALSE)</f>
        <v>0.25</v>
      </c>
      <c r="P754" s="208" t="s">
        <v>112</v>
      </c>
      <c r="Q754" s="240">
        <f t="shared" si="187"/>
        <v>2.625</v>
      </c>
      <c r="R754" s="239">
        <v>1</v>
      </c>
      <c r="S754" s="240">
        <f t="shared" si="174"/>
        <v>3.63</v>
      </c>
      <c r="T754" s="216" t="s">
        <v>48</v>
      </c>
      <c r="U754" s="196" t="str">
        <f t="shared" si="172"/>
        <v>3.63 Hrs</v>
      </c>
    </row>
    <row r="755" spans="3:21" s="185" customFormat="1" ht="20.25" customHeight="1">
      <c r="C755" s="198"/>
      <c r="D755" s="203">
        <f t="shared" si="159"/>
        <v>755</v>
      </c>
      <c r="E755" s="207" t="s">
        <v>148</v>
      </c>
      <c r="F755" s="211">
        <f t="shared" si="188"/>
        <v>754</v>
      </c>
      <c r="G755" s="206" t="s">
        <v>149</v>
      </c>
      <c r="H755" s="206"/>
      <c r="I755" s="224">
        <v>25</v>
      </c>
      <c r="J755" s="208"/>
      <c r="K755" s="234"/>
      <c r="L755" s="208"/>
      <c r="M755" s="235">
        <f>M752+M753+M754</f>
        <v>48.5</v>
      </c>
      <c r="N755" s="208" t="s">
        <v>139</v>
      </c>
      <c r="O755" s="246">
        <f>VLOOKUP(I755,BM!$A$2:$X$104,4,FALSE)</f>
        <v>0.15</v>
      </c>
      <c r="P755" s="208" t="s">
        <v>112</v>
      </c>
      <c r="Q755" s="240">
        <f t="shared" si="187"/>
        <v>7.2749999999999995</v>
      </c>
      <c r="R755" s="239">
        <v>1</v>
      </c>
      <c r="S755" s="240">
        <f t="shared" si="174"/>
        <v>8.2799999999999994</v>
      </c>
      <c r="T755" s="216" t="s">
        <v>48</v>
      </c>
      <c r="U755" s="196" t="str">
        <f t="shared" si="172"/>
        <v>8.28 Hrs</v>
      </c>
    </row>
    <row r="756" spans="3:21" s="185" customFormat="1" ht="20.25" customHeight="1">
      <c r="C756" s="198">
        <f>D756</f>
        <v>756</v>
      </c>
      <c r="D756" s="203">
        <f t="shared" si="159"/>
        <v>756</v>
      </c>
      <c r="E756" s="204" t="s">
        <v>150</v>
      </c>
      <c r="F756" s="210">
        <f>D751</f>
        <v>751</v>
      </c>
      <c r="G756" s="206"/>
      <c r="H756" s="206"/>
      <c r="I756" s="208"/>
      <c r="J756" s="208"/>
      <c r="K756" s="234"/>
      <c r="L756" s="208"/>
      <c r="M756" s="217"/>
      <c r="N756" s="208"/>
      <c r="O756" s="218"/>
      <c r="P756" s="208"/>
      <c r="Q756" s="240"/>
      <c r="R756" s="239"/>
      <c r="S756" s="240"/>
      <c r="T756" s="216"/>
      <c r="U756" s="196"/>
    </row>
    <row r="757" spans="3:21" s="185" customFormat="1" ht="20.25" customHeight="1">
      <c r="C757" s="198"/>
      <c r="D757" s="203">
        <f t="shared" si="159"/>
        <v>757</v>
      </c>
      <c r="E757" s="207" t="s">
        <v>151</v>
      </c>
      <c r="F757" s="211"/>
      <c r="G757" s="206" t="s">
        <v>152</v>
      </c>
      <c r="H757" s="206"/>
      <c r="I757" s="208"/>
      <c r="J757" s="208"/>
      <c r="K757" s="234">
        <v>1</v>
      </c>
      <c r="L757" s="208" t="s">
        <v>84</v>
      </c>
      <c r="M757" s="217">
        <v>1</v>
      </c>
      <c r="N757" s="208" t="s">
        <v>39</v>
      </c>
      <c r="O757" s="218">
        <v>8</v>
      </c>
      <c r="P757" s="208" t="s">
        <v>112</v>
      </c>
      <c r="Q757" s="240">
        <f t="shared" ref="Q757:Q760" si="193">M757*O757</f>
        <v>8</v>
      </c>
      <c r="R757" s="239">
        <v>1</v>
      </c>
      <c r="S757" s="240">
        <f t="shared" si="174"/>
        <v>9</v>
      </c>
      <c r="T757" s="216" t="s">
        <v>48</v>
      </c>
      <c r="U757" s="196" t="str">
        <f t="shared" si="172"/>
        <v>9 Hrs</v>
      </c>
    </row>
    <row r="758" spans="3:21" s="185" customFormat="1" ht="20.25" customHeight="1">
      <c r="C758" s="198"/>
      <c r="D758" s="203">
        <f t="shared" si="159"/>
        <v>758</v>
      </c>
      <c r="E758" s="207" t="s">
        <v>153</v>
      </c>
      <c r="F758" s="211">
        <f t="shared" ref="F758:F760" si="194">D757</f>
        <v>757</v>
      </c>
      <c r="G758" s="206" t="s">
        <v>115</v>
      </c>
      <c r="H758" s="206"/>
      <c r="I758" s="224">
        <v>18</v>
      </c>
      <c r="J758" s="234"/>
      <c r="K758" s="234">
        <v>1</v>
      </c>
      <c r="L758" s="208" t="s">
        <v>84</v>
      </c>
      <c r="M758" s="235">
        <v>4</v>
      </c>
      <c r="N758" s="208" t="s">
        <v>39</v>
      </c>
      <c r="O758" s="229">
        <f>VLOOKUP(I758,BM!$A$2:$X$104,22,FALSE)</f>
        <v>3.4</v>
      </c>
      <c r="P758" s="208" t="s">
        <v>112</v>
      </c>
      <c r="Q758" s="240">
        <f t="shared" si="193"/>
        <v>13.6</v>
      </c>
      <c r="R758" s="239">
        <v>1</v>
      </c>
      <c r="S758" s="240">
        <f t="shared" si="174"/>
        <v>14.6</v>
      </c>
      <c r="T758" s="216" t="s">
        <v>48</v>
      </c>
      <c r="U758" s="196" t="str">
        <f t="shared" si="172"/>
        <v>14.6 Hrs</v>
      </c>
    </row>
    <row r="759" spans="3:21" s="185" customFormat="1" ht="20.25" customHeight="1">
      <c r="C759" s="198"/>
      <c r="D759" s="203">
        <f t="shared" si="159"/>
        <v>759</v>
      </c>
      <c r="E759" s="207" t="s">
        <v>154</v>
      </c>
      <c r="F759" s="211">
        <f t="shared" si="194"/>
        <v>758</v>
      </c>
      <c r="G759" s="206" t="s">
        <v>152</v>
      </c>
      <c r="H759" s="206"/>
      <c r="I759" s="208"/>
      <c r="J759" s="208"/>
      <c r="K759" s="234">
        <v>1</v>
      </c>
      <c r="L759" s="208" t="s">
        <v>84</v>
      </c>
      <c r="M759" s="217">
        <v>1</v>
      </c>
      <c r="N759" s="208" t="s">
        <v>39</v>
      </c>
      <c r="O759" s="218">
        <v>8</v>
      </c>
      <c r="P759" s="208" t="s">
        <v>112</v>
      </c>
      <c r="Q759" s="240">
        <f t="shared" si="193"/>
        <v>8</v>
      </c>
      <c r="R759" s="239">
        <v>1</v>
      </c>
      <c r="S759" s="240">
        <f t="shared" si="174"/>
        <v>9</v>
      </c>
      <c r="T759" s="216" t="s">
        <v>48</v>
      </c>
      <c r="U759" s="196" t="str">
        <f t="shared" si="172"/>
        <v>9 Hrs</v>
      </c>
    </row>
    <row r="760" spans="3:21" s="185" customFormat="1" ht="20.25" customHeight="1">
      <c r="C760" s="198"/>
      <c r="D760" s="203">
        <f t="shared" si="159"/>
        <v>760</v>
      </c>
      <c r="E760" s="207" t="s">
        <v>155</v>
      </c>
      <c r="F760" s="211">
        <f t="shared" si="194"/>
        <v>759</v>
      </c>
      <c r="G760" s="206" t="s">
        <v>156</v>
      </c>
      <c r="H760" s="206"/>
      <c r="I760" s="224">
        <v>18</v>
      </c>
      <c r="J760" s="234"/>
      <c r="K760" s="234">
        <v>1</v>
      </c>
      <c r="L760" s="208" t="s">
        <v>84</v>
      </c>
      <c r="M760" s="235">
        <v>24.8</v>
      </c>
      <c r="N760" s="208" t="s">
        <v>39</v>
      </c>
      <c r="O760" s="229">
        <f>VLOOKUP(I760,BM!$A$2:$X$104,22,FALSE)</f>
        <v>3.4</v>
      </c>
      <c r="P760" s="208" t="s">
        <v>112</v>
      </c>
      <c r="Q760" s="240">
        <f t="shared" si="193"/>
        <v>84.32</v>
      </c>
      <c r="R760" s="239">
        <v>1</v>
      </c>
      <c r="S760" s="240">
        <f t="shared" si="174"/>
        <v>85.32</v>
      </c>
      <c r="T760" s="216" t="s">
        <v>48</v>
      </c>
      <c r="U760" s="196" t="str">
        <f t="shared" si="172"/>
        <v>85.32 Hrs</v>
      </c>
    </row>
    <row r="761" spans="3:21" s="185" customFormat="1" ht="20.25" customHeight="1">
      <c r="C761" s="198">
        <f>D761</f>
        <v>761</v>
      </c>
      <c r="D761" s="203">
        <f t="shared" si="159"/>
        <v>761</v>
      </c>
      <c r="E761" s="204" t="s">
        <v>157</v>
      </c>
      <c r="F761" s="210">
        <f>D756</f>
        <v>756</v>
      </c>
      <c r="G761" s="206"/>
      <c r="H761" s="206"/>
      <c r="I761" s="208"/>
      <c r="J761" s="208"/>
      <c r="K761" s="234"/>
      <c r="L761" s="208"/>
      <c r="M761" s="217"/>
      <c r="N761" s="208"/>
      <c r="O761" s="218"/>
      <c r="P761" s="208"/>
      <c r="Q761" s="240"/>
      <c r="R761" s="239"/>
      <c r="S761" s="240"/>
      <c r="T761" s="216"/>
      <c r="U761" s="196"/>
    </row>
    <row r="762" spans="3:21" s="185" customFormat="1" ht="20.25" customHeight="1">
      <c r="C762" s="198"/>
      <c r="D762" s="203">
        <f t="shared" si="159"/>
        <v>762</v>
      </c>
      <c r="E762" s="207" t="s">
        <v>158</v>
      </c>
      <c r="F762" s="211"/>
      <c r="G762" s="206" t="s">
        <v>159</v>
      </c>
      <c r="H762" s="206"/>
      <c r="I762" s="208"/>
      <c r="J762" s="208"/>
      <c r="K762" s="234">
        <v>1</v>
      </c>
      <c r="L762" s="208" t="s">
        <v>160</v>
      </c>
      <c r="M762" s="217">
        <v>1</v>
      </c>
      <c r="N762" s="208" t="s">
        <v>160</v>
      </c>
      <c r="O762" s="218">
        <v>4</v>
      </c>
      <c r="P762" s="208" t="s">
        <v>41</v>
      </c>
      <c r="Q762" s="240">
        <f t="shared" ref="Q762:Q775" si="195">M762*O762</f>
        <v>4</v>
      </c>
      <c r="R762" s="239"/>
      <c r="S762" s="240">
        <f t="shared" si="174"/>
        <v>4</v>
      </c>
      <c r="T762" s="216" t="s">
        <v>42</v>
      </c>
      <c r="U762" s="196" t="str">
        <f t="shared" si="172"/>
        <v>4 Days</v>
      </c>
    </row>
    <row r="763" spans="3:21" s="185" customFormat="1" ht="20.25" customHeight="1">
      <c r="C763" s="198"/>
      <c r="D763" s="203">
        <f t="shared" si="159"/>
        <v>763</v>
      </c>
      <c r="E763" s="207" t="s">
        <v>161</v>
      </c>
      <c r="F763" s="211">
        <f t="shared" ref="F763:F775" si="196">D762</f>
        <v>762</v>
      </c>
      <c r="G763" s="206" t="s">
        <v>44</v>
      </c>
      <c r="H763" s="206"/>
      <c r="I763" s="208"/>
      <c r="J763" s="208"/>
      <c r="K763" s="234">
        <v>6</v>
      </c>
      <c r="L763" s="208" t="s">
        <v>81</v>
      </c>
      <c r="M763" s="217">
        <v>6</v>
      </c>
      <c r="N763" s="208" t="s">
        <v>81</v>
      </c>
      <c r="O763" s="218">
        <v>0.5</v>
      </c>
      <c r="P763" s="208" t="s">
        <v>162</v>
      </c>
      <c r="Q763" s="240">
        <f t="shared" si="195"/>
        <v>3</v>
      </c>
      <c r="R763" s="239"/>
      <c r="S763" s="240">
        <f t="shared" si="174"/>
        <v>3</v>
      </c>
      <c r="T763" s="216" t="s">
        <v>48</v>
      </c>
      <c r="U763" s="196" t="str">
        <f t="shared" si="172"/>
        <v>3 Hrs</v>
      </c>
    </row>
    <row r="764" spans="3:21" s="185" customFormat="1" ht="20.25" customHeight="1">
      <c r="C764" s="198"/>
      <c r="D764" s="203">
        <f t="shared" si="159"/>
        <v>764</v>
      </c>
      <c r="E764" s="207" t="s">
        <v>163</v>
      </c>
      <c r="F764" s="211">
        <f t="shared" si="196"/>
        <v>763</v>
      </c>
      <c r="G764" s="206" t="s">
        <v>44</v>
      </c>
      <c r="H764" s="206"/>
      <c r="I764" s="224">
        <v>16</v>
      </c>
      <c r="J764" s="208"/>
      <c r="K764" s="234">
        <v>4</v>
      </c>
      <c r="L764" s="208" t="s">
        <v>81</v>
      </c>
      <c r="M764" s="235">
        <f>K764</f>
        <v>4</v>
      </c>
      <c r="N764" s="208" t="s">
        <v>81</v>
      </c>
      <c r="O764" s="218">
        <v>0.5</v>
      </c>
      <c r="P764" s="208" t="s">
        <v>162</v>
      </c>
      <c r="Q764" s="240">
        <f t="shared" si="195"/>
        <v>2</v>
      </c>
      <c r="R764" s="239"/>
      <c r="S764" s="240">
        <f t="shared" si="174"/>
        <v>2</v>
      </c>
      <c r="T764" s="216" t="s">
        <v>48</v>
      </c>
      <c r="U764" s="196" t="str">
        <f t="shared" si="172"/>
        <v>2 Hrs</v>
      </c>
    </row>
    <row r="765" spans="3:21" s="185" customFormat="1" ht="20.25" customHeight="1">
      <c r="C765" s="198"/>
      <c r="D765" s="203">
        <f t="shared" si="159"/>
        <v>765</v>
      </c>
      <c r="E765" s="207" t="s">
        <v>164</v>
      </c>
      <c r="F765" s="211">
        <f t="shared" si="196"/>
        <v>764</v>
      </c>
      <c r="G765" s="206" t="s">
        <v>44</v>
      </c>
      <c r="H765" s="206"/>
      <c r="I765" s="224">
        <v>16</v>
      </c>
      <c r="J765" s="208"/>
      <c r="K765" s="234">
        <v>4</v>
      </c>
      <c r="L765" s="208" t="s">
        <v>81</v>
      </c>
      <c r="M765" s="235">
        <f>K765</f>
        <v>4</v>
      </c>
      <c r="N765" s="208" t="s">
        <v>81</v>
      </c>
      <c r="O765" s="218">
        <v>0.5</v>
      </c>
      <c r="P765" s="208" t="s">
        <v>162</v>
      </c>
      <c r="Q765" s="240">
        <f t="shared" si="195"/>
        <v>2</v>
      </c>
      <c r="R765" s="239"/>
      <c r="S765" s="240">
        <f t="shared" si="174"/>
        <v>2</v>
      </c>
      <c r="T765" s="216" t="s">
        <v>48</v>
      </c>
      <c r="U765" s="196" t="str">
        <f t="shared" si="172"/>
        <v>2 Hrs</v>
      </c>
    </row>
    <row r="766" spans="3:21" s="185" customFormat="1" ht="20.25" customHeight="1">
      <c r="C766" s="198"/>
      <c r="D766" s="203">
        <f t="shared" si="159"/>
        <v>766</v>
      </c>
      <c r="E766" s="207" t="s">
        <v>165</v>
      </c>
      <c r="F766" s="211">
        <f t="shared" si="196"/>
        <v>765</v>
      </c>
      <c r="G766" s="206" t="s">
        <v>44</v>
      </c>
      <c r="H766" s="206"/>
      <c r="I766" s="224">
        <v>30</v>
      </c>
      <c r="J766" s="208"/>
      <c r="K766" s="234">
        <v>2</v>
      </c>
      <c r="L766" s="208" t="s">
        <v>81</v>
      </c>
      <c r="M766" s="235">
        <f>K766</f>
        <v>2</v>
      </c>
      <c r="N766" s="208" t="s">
        <v>81</v>
      </c>
      <c r="O766" s="218">
        <v>0.5</v>
      </c>
      <c r="P766" s="208" t="s">
        <v>162</v>
      </c>
      <c r="Q766" s="240">
        <f t="shared" si="195"/>
        <v>1</v>
      </c>
      <c r="R766" s="239"/>
      <c r="S766" s="240">
        <f t="shared" si="174"/>
        <v>1</v>
      </c>
      <c r="T766" s="216" t="s">
        <v>48</v>
      </c>
      <c r="U766" s="196" t="str">
        <f t="shared" si="172"/>
        <v>1 Hrs</v>
      </c>
    </row>
    <row r="767" spans="3:21" s="185" customFormat="1" ht="20.25" customHeight="1">
      <c r="C767" s="198"/>
      <c r="D767" s="203">
        <f t="shared" si="159"/>
        <v>767</v>
      </c>
      <c r="E767" s="207" t="s">
        <v>166</v>
      </c>
      <c r="F767" s="211">
        <f t="shared" si="196"/>
        <v>766</v>
      </c>
      <c r="G767" s="206" t="s">
        <v>52</v>
      </c>
      <c r="H767" s="206"/>
      <c r="I767" s="208"/>
      <c r="J767" s="208"/>
      <c r="K767" s="234">
        <v>6</v>
      </c>
      <c r="L767" s="208" t="s">
        <v>81</v>
      </c>
      <c r="M767" s="235">
        <f>K767</f>
        <v>6</v>
      </c>
      <c r="N767" s="208" t="s">
        <v>81</v>
      </c>
      <c r="O767" s="218">
        <v>0.5</v>
      </c>
      <c r="P767" s="208" t="s">
        <v>162</v>
      </c>
      <c r="Q767" s="240">
        <f t="shared" si="195"/>
        <v>3</v>
      </c>
      <c r="R767" s="239"/>
      <c r="S767" s="240">
        <f t="shared" si="174"/>
        <v>3</v>
      </c>
      <c r="T767" s="216" t="s">
        <v>48</v>
      </c>
      <c r="U767" s="196" t="str">
        <f t="shared" si="172"/>
        <v>3 Hrs</v>
      </c>
    </row>
    <row r="768" spans="3:21" s="185" customFormat="1" ht="20.25" customHeight="1">
      <c r="C768" s="198"/>
      <c r="D768" s="203">
        <f t="shared" si="159"/>
        <v>768</v>
      </c>
      <c r="E768" s="207" t="s">
        <v>167</v>
      </c>
      <c r="F768" s="211">
        <f t="shared" si="196"/>
        <v>767</v>
      </c>
      <c r="G768" s="206" t="s">
        <v>52</v>
      </c>
      <c r="H768" s="206"/>
      <c r="I768" s="208"/>
      <c r="J768" s="208"/>
      <c r="K768" s="234">
        <v>4</v>
      </c>
      <c r="L768" s="208" t="s">
        <v>81</v>
      </c>
      <c r="M768" s="235">
        <f t="shared" ref="M768:M775" si="197">K768</f>
        <v>4</v>
      </c>
      <c r="N768" s="208" t="s">
        <v>81</v>
      </c>
      <c r="O768" s="218">
        <v>0.5</v>
      </c>
      <c r="P768" s="208" t="s">
        <v>162</v>
      </c>
      <c r="Q768" s="240">
        <f t="shared" si="195"/>
        <v>2</v>
      </c>
      <c r="R768" s="239"/>
      <c r="S768" s="240">
        <f t="shared" si="174"/>
        <v>2</v>
      </c>
      <c r="T768" s="216" t="s">
        <v>48</v>
      </c>
      <c r="U768" s="196" t="str">
        <f t="shared" si="172"/>
        <v>2 Hrs</v>
      </c>
    </row>
    <row r="769" spans="3:21" s="185" customFormat="1" ht="20.25" customHeight="1">
      <c r="C769" s="198"/>
      <c r="D769" s="203">
        <f t="shared" si="159"/>
        <v>769</v>
      </c>
      <c r="E769" s="207" t="s">
        <v>168</v>
      </c>
      <c r="F769" s="211">
        <f t="shared" si="196"/>
        <v>768</v>
      </c>
      <c r="G769" s="206" t="s">
        <v>44</v>
      </c>
      <c r="H769" s="206"/>
      <c r="I769" s="208"/>
      <c r="J769" s="208"/>
      <c r="K769" s="234">
        <v>6</v>
      </c>
      <c r="L769" s="208" t="s">
        <v>81</v>
      </c>
      <c r="M769" s="235">
        <f t="shared" si="197"/>
        <v>6</v>
      </c>
      <c r="N769" s="208" t="s">
        <v>81</v>
      </c>
      <c r="O769" s="218">
        <v>0.5</v>
      </c>
      <c r="P769" s="208" t="s">
        <v>162</v>
      </c>
      <c r="Q769" s="240">
        <f t="shared" si="195"/>
        <v>3</v>
      </c>
      <c r="R769" s="239"/>
      <c r="S769" s="240">
        <f t="shared" si="174"/>
        <v>3</v>
      </c>
      <c r="T769" s="216" t="s">
        <v>48</v>
      </c>
      <c r="U769" s="196" t="str">
        <f t="shared" si="172"/>
        <v>3 Hrs</v>
      </c>
    </row>
    <row r="770" spans="3:21" s="185" customFormat="1" ht="20.25" customHeight="1">
      <c r="C770" s="198"/>
      <c r="D770" s="203">
        <f t="shared" si="159"/>
        <v>770</v>
      </c>
      <c r="E770" s="207" t="s">
        <v>169</v>
      </c>
      <c r="F770" s="211">
        <f t="shared" si="196"/>
        <v>769</v>
      </c>
      <c r="G770" s="206" t="s">
        <v>61</v>
      </c>
      <c r="H770" s="206"/>
      <c r="I770" s="208"/>
      <c r="J770" s="208"/>
      <c r="K770" s="234">
        <v>10</v>
      </c>
      <c r="L770" s="208" t="s">
        <v>81</v>
      </c>
      <c r="M770" s="235">
        <f t="shared" si="197"/>
        <v>10</v>
      </c>
      <c r="N770" s="208" t="s">
        <v>81</v>
      </c>
      <c r="O770" s="218">
        <v>0.5</v>
      </c>
      <c r="P770" s="208" t="s">
        <v>162</v>
      </c>
      <c r="Q770" s="240">
        <f t="shared" si="195"/>
        <v>5</v>
      </c>
      <c r="R770" s="239"/>
      <c r="S770" s="240">
        <f t="shared" si="174"/>
        <v>5</v>
      </c>
      <c r="T770" s="216" t="s">
        <v>48</v>
      </c>
      <c r="U770" s="196" t="str">
        <f t="shared" si="172"/>
        <v>5 Hrs</v>
      </c>
    </row>
    <row r="771" spans="3:21" s="185" customFormat="1" ht="20.25" customHeight="1">
      <c r="C771" s="198"/>
      <c r="D771" s="203">
        <f t="shared" ref="D771:D834" si="198">D770+1</f>
        <v>771</v>
      </c>
      <c r="E771" s="207" t="s">
        <v>170</v>
      </c>
      <c r="F771" s="211">
        <f t="shared" si="196"/>
        <v>770</v>
      </c>
      <c r="G771" s="206" t="s">
        <v>61</v>
      </c>
      <c r="H771" s="206"/>
      <c r="I771" s="208"/>
      <c r="J771" s="208"/>
      <c r="K771" s="234">
        <v>2</v>
      </c>
      <c r="L771" s="208" t="s">
        <v>81</v>
      </c>
      <c r="M771" s="235">
        <f t="shared" si="197"/>
        <v>2</v>
      </c>
      <c r="N771" s="208" t="s">
        <v>81</v>
      </c>
      <c r="O771" s="218">
        <v>0.5</v>
      </c>
      <c r="P771" s="208" t="s">
        <v>162</v>
      </c>
      <c r="Q771" s="240">
        <f t="shared" si="195"/>
        <v>1</v>
      </c>
      <c r="R771" s="239"/>
      <c r="S771" s="240">
        <f t="shared" si="174"/>
        <v>1</v>
      </c>
      <c r="T771" s="216" t="s">
        <v>48</v>
      </c>
      <c r="U771" s="196" t="str">
        <f t="shared" si="172"/>
        <v>1 Hrs</v>
      </c>
    </row>
    <row r="772" spans="3:21" s="185" customFormat="1" ht="20.25" customHeight="1">
      <c r="C772" s="198"/>
      <c r="D772" s="203">
        <f t="shared" si="198"/>
        <v>772</v>
      </c>
      <c r="E772" s="207" t="s">
        <v>171</v>
      </c>
      <c r="F772" s="211">
        <f t="shared" si="196"/>
        <v>771</v>
      </c>
      <c r="G772" s="206" t="s">
        <v>172</v>
      </c>
      <c r="H772" s="206"/>
      <c r="I772" s="208"/>
      <c r="J772" s="208"/>
      <c r="K772" s="234">
        <v>2</v>
      </c>
      <c r="L772" s="208" t="s">
        <v>81</v>
      </c>
      <c r="M772" s="235">
        <f t="shared" si="197"/>
        <v>2</v>
      </c>
      <c r="N772" s="208" t="s">
        <v>81</v>
      </c>
      <c r="O772" s="218">
        <v>0.5</v>
      </c>
      <c r="P772" s="208" t="s">
        <v>162</v>
      </c>
      <c r="Q772" s="240">
        <f t="shared" si="195"/>
        <v>1</v>
      </c>
      <c r="R772" s="239"/>
      <c r="S772" s="240">
        <f t="shared" si="174"/>
        <v>1</v>
      </c>
      <c r="T772" s="216" t="s">
        <v>48</v>
      </c>
      <c r="U772" s="196" t="str">
        <f t="shared" si="172"/>
        <v>1 Hrs</v>
      </c>
    </row>
    <row r="773" spans="3:21" s="185" customFormat="1" ht="20.25" customHeight="1">
      <c r="C773" s="198"/>
      <c r="D773" s="203">
        <f t="shared" si="198"/>
        <v>773</v>
      </c>
      <c r="E773" s="207" t="s">
        <v>173</v>
      </c>
      <c r="F773" s="211">
        <f t="shared" si="196"/>
        <v>772</v>
      </c>
      <c r="G773" s="206" t="s">
        <v>115</v>
      </c>
      <c r="H773" s="206"/>
      <c r="I773" s="208"/>
      <c r="J773" s="208"/>
      <c r="K773" s="234">
        <v>2</v>
      </c>
      <c r="L773" s="208" t="s">
        <v>81</v>
      </c>
      <c r="M773" s="235">
        <f t="shared" si="197"/>
        <v>2</v>
      </c>
      <c r="N773" s="208" t="s">
        <v>81</v>
      </c>
      <c r="O773" s="218">
        <v>0.5</v>
      </c>
      <c r="P773" s="208" t="s">
        <v>162</v>
      </c>
      <c r="Q773" s="240">
        <f t="shared" si="195"/>
        <v>1</v>
      </c>
      <c r="R773" s="239"/>
      <c r="S773" s="240">
        <f t="shared" si="174"/>
        <v>1</v>
      </c>
      <c r="T773" s="216" t="s">
        <v>48</v>
      </c>
      <c r="U773" s="196" t="str">
        <f t="shared" si="172"/>
        <v>1 Hrs</v>
      </c>
    </row>
    <row r="774" spans="3:21" s="185" customFormat="1" ht="20.25" customHeight="1">
      <c r="C774" s="198"/>
      <c r="D774" s="203">
        <f t="shared" si="198"/>
        <v>774</v>
      </c>
      <c r="E774" s="207" t="s">
        <v>174</v>
      </c>
      <c r="F774" s="211">
        <f t="shared" si="196"/>
        <v>773</v>
      </c>
      <c r="G774" s="206" t="s">
        <v>115</v>
      </c>
      <c r="H774" s="206"/>
      <c r="I774" s="208"/>
      <c r="J774" s="208"/>
      <c r="K774" s="234">
        <v>2</v>
      </c>
      <c r="L774" s="208" t="s">
        <v>81</v>
      </c>
      <c r="M774" s="235">
        <f t="shared" si="197"/>
        <v>2</v>
      </c>
      <c r="N774" s="208" t="s">
        <v>81</v>
      </c>
      <c r="O774" s="218">
        <v>0.5</v>
      </c>
      <c r="P774" s="208" t="s">
        <v>162</v>
      </c>
      <c r="Q774" s="240">
        <f t="shared" si="195"/>
        <v>1</v>
      </c>
      <c r="R774" s="239"/>
      <c r="S774" s="240">
        <f t="shared" si="174"/>
        <v>1</v>
      </c>
      <c r="T774" s="216" t="s">
        <v>48</v>
      </c>
      <c r="U774" s="196" t="str">
        <f t="shared" si="172"/>
        <v>1 Hrs</v>
      </c>
    </row>
    <row r="775" spans="3:21" s="185" customFormat="1" ht="20.25" customHeight="1">
      <c r="C775" s="198"/>
      <c r="D775" s="203">
        <f t="shared" si="198"/>
        <v>775</v>
      </c>
      <c r="E775" s="207" t="s">
        <v>175</v>
      </c>
      <c r="F775" s="211">
        <f t="shared" si="196"/>
        <v>774</v>
      </c>
      <c r="G775" s="206" t="s">
        <v>44</v>
      </c>
      <c r="H775" s="206"/>
      <c r="I775" s="208"/>
      <c r="J775" s="208"/>
      <c r="K775" s="234">
        <v>4</v>
      </c>
      <c r="L775" s="208" t="s">
        <v>81</v>
      </c>
      <c r="M775" s="235">
        <f t="shared" si="197"/>
        <v>4</v>
      </c>
      <c r="N775" s="208" t="s">
        <v>81</v>
      </c>
      <c r="O775" s="218">
        <v>0.5</v>
      </c>
      <c r="P775" s="208" t="s">
        <v>162</v>
      </c>
      <c r="Q775" s="240">
        <f t="shared" si="195"/>
        <v>2</v>
      </c>
      <c r="R775" s="239"/>
      <c r="S775" s="240">
        <f t="shared" si="174"/>
        <v>2</v>
      </c>
      <c r="T775" s="216" t="s">
        <v>48</v>
      </c>
      <c r="U775" s="196" t="str">
        <f t="shared" si="172"/>
        <v>2 Hrs</v>
      </c>
    </row>
    <row r="776" spans="3:21" s="185" customFormat="1" ht="20.25" customHeight="1">
      <c r="C776" s="198">
        <f>D776</f>
        <v>776</v>
      </c>
      <c r="D776" s="203">
        <f t="shared" si="198"/>
        <v>776</v>
      </c>
      <c r="E776" s="204" t="s">
        <v>176</v>
      </c>
      <c r="F776" s="210">
        <f>D761</f>
        <v>761</v>
      </c>
      <c r="G776" s="206"/>
      <c r="H776" s="206"/>
      <c r="I776" s="208"/>
      <c r="J776" s="208"/>
      <c r="K776" s="234"/>
      <c r="L776" s="208"/>
      <c r="M776" s="217"/>
      <c r="N776" s="208"/>
      <c r="O776" s="218"/>
      <c r="P776" s="208"/>
      <c r="Q776" s="240"/>
      <c r="R776" s="239"/>
      <c r="S776" s="240"/>
      <c r="T776" s="216"/>
      <c r="U776" s="196"/>
    </row>
    <row r="777" spans="3:21" s="185" customFormat="1" ht="20.25" customHeight="1">
      <c r="C777" s="198"/>
      <c r="D777" s="203">
        <f t="shared" si="198"/>
        <v>777</v>
      </c>
      <c r="E777" s="207" t="s">
        <v>135</v>
      </c>
      <c r="F777" s="211"/>
      <c r="G777" s="206"/>
      <c r="H777" s="206"/>
      <c r="I777" s="208"/>
      <c r="J777" s="208"/>
      <c r="K777" s="234">
        <v>1</v>
      </c>
      <c r="L777" s="208" t="s">
        <v>160</v>
      </c>
      <c r="M777" s="217">
        <v>1</v>
      </c>
      <c r="N777" s="208" t="s">
        <v>160</v>
      </c>
      <c r="O777" s="218">
        <v>4</v>
      </c>
      <c r="P777" s="208" t="s">
        <v>177</v>
      </c>
      <c r="Q777" s="240">
        <f t="shared" ref="Q777:Q780" si="199">M777*O777</f>
        <v>4</v>
      </c>
      <c r="R777" s="239"/>
      <c r="S777" s="240">
        <f t="shared" si="174"/>
        <v>4</v>
      </c>
      <c r="T777" s="216" t="s">
        <v>42</v>
      </c>
      <c r="U777" s="196" t="str">
        <f t="shared" si="172"/>
        <v>4 Days</v>
      </c>
    </row>
    <row r="778" spans="3:21" s="185" customFormat="1" ht="20.25" customHeight="1">
      <c r="C778" s="198"/>
      <c r="D778" s="203">
        <f t="shared" si="198"/>
        <v>778</v>
      </c>
      <c r="E778" s="207" t="s">
        <v>178</v>
      </c>
      <c r="F778" s="211">
        <f t="shared" ref="F778:F780" si="200">D777</f>
        <v>777</v>
      </c>
      <c r="G778" s="206" t="s">
        <v>44</v>
      </c>
      <c r="H778" s="206"/>
      <c r="I778" s="224">
        <v>18</v>
      </c>
      <c r="J778" s="208"/>
      <c r="K778" s="234">
        <v>4</v>
      </c>
      <c r="L778" s="208" t="s">
        <v>81</v>
      </c>
      <c r="M778" s="235">
        <f t="shared" ref="M778:M780" si="201">K778</f>
        <v>4</v>
      </c>
      <c r="N778" s="208" t="s">
        <v>81</v>
      </c>
      <c r="O778" s="218">
        <v>0.5</v>
      </c>
      <c r="P778" s="208" t="s">
        <v>162</v>
      </c>
      <c r="Q778" s="240">
        <f t="shared" si="199"/>
        <v>2</v>
      </c>
      <c r="R778" s="239"/>
      <c r="S778" s="240">
        <f t="shared" si="174"/>
        <v>2</v>
      </c>
      <c r="T778" s="216" t="s">
        <v>48</v>
      </c>
      <c r="U778" s="196" t="str">
        <f t="shared" si="172"/>
        <v>2 Hrs</v>
      </c>
    </row>
    <row r="779" spans="3:21" s="185" customFormat="1" ht="20.25" customHeight="1">
      <c r="C779" s="198"/>
      <c r="D779" s="203">
        <f t="shared" si="198"/>
        <v>779</v>
      </c>
      <c r="E779" s="207" t="s">
        <v>179</v>
      </c>
      <c r="F779" s="211">
        <f t="shared" si="200"/>
        <v>778</v>
      </c>
      <c r="G779" s="206" t="s">
        <v>52</v>
      </c>
      <c r="H779" s="206"/>
      <c r="I779" s="208"/>
      <c r="J779" s="208"/>
      <c r="K779" s="234">
        <v>4</v>
      </c>
      <c r="L779" s="208" t="s">
        <v>81</v>
      </c>
      <c r="M779" s="235">
        <f t="shared" si="201"/>
        <v>4</v>
      </c>
      <c r="N779" s="208" t="s">
        <v>81</v>
      </c>
      <c r="O779" s="218">
        <v>0.5</v>
      </c>
      <c r="P779" s="208" t="s">
        <v>162</v>
      </c>
      <c r="Q779" s="240">
        <f t="shared" si="199"/>
        <v>2</v>
      </c>
      <c r="R779" s="239"/>
      <c r="S779" s="240">
        <f t="shared" si="174"/>
        <v>2</v>
      </c>
      <c r="T779" s="216" t="s">
        <v>48</v>
      </c>
      <c r="U779" s="196" t="str">
        <f t="shared" si="172"/>
        <v>2 Hrs</v>
      </c>
    </row>
    <row r="780" spans="3:21" s="185" customFormat="1" ht="20.25" customHeight="1">
      <c r="C780" s="198"/>
      <c r="D780" s="203">
        <f t="shared" si="198"/>
        <v>780</v>
      </c>
      <c r="E780" s="207" t="s">
        <v>180</v>
      </c>
      <c r="F780" s="211">
        <f t="shared" si="200"/>
        <v>779</v>
      </c>
      <c r="G780" s="206" t="s">
        <v>121</v>
      </c>
      <c r="H780" s="206"/>
      <c r="I780" s="208"/>
      <c r="J780" s="208"/>
      <c r="K780" s="234">
        <v>4</v>
      </c>
      <c r="L780" s="208" t="s">
        <v>81</v>
      </c>
      <c r="M780" s="235">
        <f t="shared" si="201"/>
        <v>4</v>
      </c>
      <c r="N780" s="208" t="s">
        <v>81</v>
      </c>
      <c r="O780" s="218">
        <v>0.5</v>
      </c>
      <c r="P780" s="208" t="s">
        <v>162</v>
      </c>
      <c r="Q780" s="240">
        <f t="shared" si="199"/>
        <v>2</v>
      </c>
      <c r="R780" s="239"/>
      <c r="S780" s="240">
        <f t="shared" si="174"/>
        <v>2</v>
      </c>
      <c r="T780" s="216" t="s">
        <v>48</v>
      </c>
      <c r="U780" s="196" t="str">
        <f t="shared" si="172"/>
        <v>2 Hrs</v>
      </c>
    </row>
    <row r="781" spans="3:21" s="185" customFormat="1" ht="20.25" customHeight="1">
      <c r="C781" s="198">
        <f>D781</f>
        <v>781</v>
      </c>
      <c r="D781" s="203">
        <f t="shared" si="198"/>
        <v>781</v>
      </c>
      <c r="E781" s="204" t="s">
        <v>181</v>
      </c>
      <c r="F781" s="210">
        <f>D776</f>
        <v>776</v>
      </c>
      <c r="G781" s="206"/>
      <c r="H781" s="206"/>
      <c r="I781" s="208"/>
      <c r="J781" s="208"/>
      <c r="K781" s="234"/>
      <c r="L781" s="208"/>
      <c r="M781" s="217"/>
      <c r="N781" s="208"/>
      <c r="O781" s="218"/>
      <c r="P781" s="208"/>
      <c r="Q781" s="240"/>
      <c r="R781" s="239"/>
      <c r="S781" s="240"/>
      <c r="T781" s="216"/>
      <c r="U781" s="196"/>
    </row>
    <row r="782" spans="3:21" s="185" customFormat="1" ht="20.25" customHeight="1">
      <c r="C782" s="198"/>
      <c r="D782" s="203">
        <f t="shared" si="198"/>
        <v>782</v>
      </c>
      <c r="E782" s="207" t="s">
        <v>182</v>
      </c>
      <c r="F782" s="211"/>
      <c r="G782" s="206" t="s">
        <v>44</v>
      </c>
      <c r="H782" s="206"/>
      <c r="I782" s="224">
        <v>24</v>
      </c>
      <c r="J782" s="208"/>
      <c r="K782" s="234">
        <v>1</v>
      </c>
      <c r="L782" s="208" t="s">
        <v>160</v>
      </c>
      <c r="M782" s="217">
        <v>1</v>
      </c>
      <c r="N782" s="208" t="s">
        <v>160</v>
      </c>
      <c r="O782" s="218">
        <v>4</v>
      </c>
      <c r="P782" s="208" t="s">
        <v>177</v>
      </c>
      <c r="Q782" s="240">
        <f t="shared" ref="Q782:Q785" si="202">M782*O782</f>
        <v>4</v>
      </c>
      <c r="R782" s="239"/>
      <c r="S782" s="240">
        <f t="shared" si="174"/>
        <v>4</v>
      </c>
      <c r="T782" s="216" t="s">
        <v>42</v>
      </c>
      <c r="U782" s="196" t="str">
        <f t="shared" si="172"/>
        <v>4 Days</v>
      </c>
    </row>
    <row r="783" spans="3:21" s="185" customFormat="1" ht="20.25" customHeight="1">
      <c r="C783" s="198"/>
      <c r="D783" s="203">
        <f t="shared" si="198"/>
        <v>783</v>
      </c>
      <c r="E783" s="207" t="s">
        <v>183</v>
      </c>
      <c r="F783" s="211">
        <f t="shared" ref="F783:F785" si="203">D782</f>
        <v>782</v>
      </c>
      <c r="G783" s="206" t="s">
        <v>52</v>
      </c>
      <c r="H783" s="206"/>
      <c r="I783" s="208"/>
      <c r="J783" s="208"/>
      <c r="K783" s="234">
        <v>4</v>
      </c>
      <c r="L783" s="208" t="s">
        <v>81</v>
      </c>
      <c r="M783" s="235">
        <f t="shared" ref="M783:M785" si="204">K783</f>
        <v>4</v>
      </c>
      <c r="N783" s="208" t="s">
        <v>81</v>
      </c>
      <c r="O783" s="218">
        <v>0.5</v>
      </c>
      <c r="P783" s="208" t="s">
        <v>162</v>
      </c>
      <c r="Q783" s="240">
        <f t="shared" si="202"/>
        <v>2</v>
      </c>
      <c r="R783" s="239"/>
      <c r="S783" s="240">
        <f t="shared" si="174"/>
        <v>2</v>
      </c>
      <c r="T783" s="216" t="s">
        <v>48</v>
      </c>
      <c r="U783" s="196" t="str">
        <f t="shared" si="172"/>
        <v>2 Hrs</v>
      </c>
    </row>
    <row r="784" spans="3:21" s="185" customFormat="1" ht="20.25" customHeight="1">
      <c r="C784" s="198"/>
      <c r="D784" s="203">
        <f t="shared" si="198"/>
        <v>784</v>
      </c>
      <c r="E784" s="207" t="s">
        <v>184</v>
      </c>
      <c r="F784" s="211">
        <f t="shared" si="203"/>
        <v>783</v>
      </c>
      <c r="G784" s="206" t="s">
        <v>121</v>
      </c>
      <c r="H784" s="206"/>
      <c r="I784" s="208"/>
      <c r="J784" s="208"/>
      <c r="K784" s="234">
        <v>4</v>
      </c>
      <c r="L784" s="208" t="s">
        <v>81</v>
      </c>
      <c r="M784" s="235">
        <f t="shared" si="204"/>
        <v>4</v>
      </c>
      <c r="N784" s="208" t="s">
        <v>81</v>
      </c>
      <c r="O784" s="218">
        <v>0.5</v>
      </c>
      <c r="P784" s="208" t="s">
        <v>162</v>
      </c>
      <c r="Q784" s="240">
        <f t="shared" si="202"/>
        <v>2</v>
      </c>
      <c r="R784" s="239"/>
      <c r="S784" s="240">
        <f t="shared" si="174"/>
        <v>2</v>
      </c>
      <c r="T784" s="216" t="s">
        <v>48</v>
      </c>
      <c r="U784" s="196" t="str">
        <f t="shared" si="172"/>
        <v>2 Hrs</v>
      </c>
    </row>
    <row r="785" spans="3:21" s="185" customFormat="1" ht="20.25" customHeight="1">
      <c r="C785" s="198"/>
      <c r="D785" s="203">
        <f t="shared" si="198"/>
        <v>785</v>
      </c>
      <c r="E785" s="207" t="s">
        <v>185</v>
      </c>
      <c r="F785" s="211">
        <f t="shared" si="203"/>
        <v>784</v>
      </c>
      <c r="G785" s="206" t="s">
        <v>44</v>
      </c>
      <c r="H785" s="206"/>
      <c r="I785" s="208"/>
      <c r="J785" s="208"/>
      <c r="K785" s="234">
        <v>4</v>
      </c>
      <c r="L785" s="208" t="s">
        <v>81</v>
      </c>
      <c r="M785" s="235">
        <f t="shared" si="204"/>
        <v>4</v>
      </c>
      <c r="N785" s="208" t="s">
        <v>81</v>
      </c>
      <c r="O785" s="218">
        <v>0.5</v>
      </c>
      <c r="P785" s="208" t="s">
        <v>162</v>
      </c>
      <c r="Q785" s="240">
        <f t="shared" si="202"/>
        <v>2</v>
      </c>
      <c r="R785" s="239"/>
      <c r="S785" s="240">
        <f t="shared" si="174"/>
        <v>2</v>
      </c>
      <c r="T785" s="216" t="s">
        <v>48</v>
      </c>
      <c r="U785" s="196" t="str">
        <f t="shared" si="172"/>
        <v>2 Hrs</v>
      </c>
    </row>
    <row r="786" spans="3:21" s="185" customFormat="1" ht="20.25" customHeight="1">
      <c r="C786" s="198">
        <f>D786</f>
        <v>786</v>
      </c>
      <c r="D786" s="203">
        <f t="shared" si="198"/>
        <v>786</v>
      </c>
      <c r="E786" s="204" t="s">
        <v>186</v>
      </c>
      <c r="F786" s="210">
        <f>D781</f>
        <v>781</v>
      </c>
      <c r="G786" s="206"/>
      <c r="H786" s="206"/>
      <c r="I786" s="208"/>
      <c r="J786" s="208"/>
      <c r="K786" s="234"/>
      <c r="L786" s="208"/>
      <c r="M786" s="217"/>
      <c r="N786" s="208"/>
      <c r="O786" s="218"/>
      <c r="P786" s="208"/>
      <c r="Q786" s="240"/>
      <c r="R786" s="239"/>
      <c r="S786" s="240"/>
      <c r="T786" s="216"/>
      <c r="U786" s="196"/>
    </row>
    <row r="787" spans="3:21" s="185" customFormat="1" ht="20.25" customHeight="1">
      <c r="C787" s="198"/>
      <c r="D787" s="203">
        <f t="shared" si="198"/>
        <v>787</v>
      </c>
      <c r="E787" s="207" t="s">
        <v>187</v>
      </c>
      <c r="F787" s="211"/>
      <c r="G787" s="206" t="s">
        <v>44</v>
      </c>
      <c r="H787" s="206"/>
      <c r="I787" s="208"/>
      <c r="J787" s="208"/>
      <c r="K787" s="234">
        <v>4</v>
      </c>
      <c r="L787" s="208" t="s">
        <v>81</v>
      </c>
      <c r="M787" s="235">
        <f t="shared" ref="M787:M788" si="205">K787</f>
        <v>4</v>
      </c>
      <c r="N787" s="208" t="s">
        <v>81</v>
      </c>
      <c r="O787" s="218">
        <v>1</v>
      </c>
      <c r="P787" s="208" t="s">
        <v>162</v>
      </c>
      <c r="Q787" s="240">
        <f t="shared" ref="Q787:Q788" si="206">M787*O787</f>
        <v>4</v>
      </c>
      <c r="R787" s="239"/>
      <c r="S787" s="240">
        <f t="shared" si="174"/>
        <v>4</v>
      </c>
      <c r="T787" s="216" t="s">
        <v>42</v>
      </c>
      <c r="U787" s="196" t="str">
        <f t="shared" si="172"/>
        <v>4 Days</v>
      </c>
    </row>
    <row r="788" spans="3:21" s="185" customFormat="1" ht="20.25" customHeight="1">
      <c r="C788" s="198"/>
      <c r="D788" s="203">
        <f t="shared" si="198"/>
        <v>788</v>
      </c>
      <c r="E788" s="207" t="s">
        <v>188</v>
      </c>
      <c r="F788" s="211">
        <f t="shared" ref="F788" si="207">D787</f>
        <v>787</v>
      </c>
      <c r="G788" s="206" t="s">
        <v>44</v>
      </c>
      <c r="H788" s="206"/>
      <c r="I788" s="208"/>
      <c r="J788" s="208"/>
      <c r="K788" s="234">
        <v>4</v>
      </c>
      <c r="L788" s="208" t="s">
        <v>81</v>
      </c>
      <c r="M788" s="235">
        <f t="shared" si="205"/>
        <v>4</v>
      </c>
      <c r="N788" s="208" t="s">
        <v>81</v>
      </c>
      <c r="O788" s="218">
        <v>1</v>
      </c>
      <c r="P788" s="208" t="s">
        <v>162</v>
      </c>
      <c r="Q788" s="240">
        <f t="shared" si="206"/>
        <v>4</v>
      </c>
      <c r="R788" s="239"/>
      <c r="S788" s="240">
        <f t="shared" si="174"/>
        <v>4</v>
      </c>
      <c r="T788" s="216" t="s">
        <v>42</v>
      </c>
      <c r="U788" s="196" t="str">
        <f t="shared" si="172"/>
        <v>4 Days</v>
      </c>
    </row>
    <row r="789" spans="3:21" s="185" customFormat="1" ht="20.25" customHeight="1">
      <c r="C789" s="198">
        <f>D789</f>
        <v>789</v>
      </c>
      <c r="D789" s="203">
        <f t="shared" si="198"/>
        <v>789</v>
      </c>
      <c r="E789" s="204" t="s">
        <v>189</v>
      </c>
      <c r="F789" s="210">
        <f>D786</f>
        <v>786</v>
      </c>
      <c r="G789" s="206"/>
      <c r="H789" s="206"/>
      <c r="I789" s="208"/>
      <c r="J789" s="208"/>
      <c r="K789" s="234"/>
      <c r="L789" s="208"/>
      <c r="M789" s="217"/>
      <c r="N789" s="208"/>
      <c r="O789" s="218"/>
      <c r="P789" s="208"/>
      <c r="Q789" s="240"/>
      <c r="R789" s="239"/>
      <c r="S789" s="240"/>
      <c r="T789" s="216"/>
      <c r="U789" s="196"/>
    </row>
    <row r="790" spans="3:21" s="185" customFormat="1" ht="20.25" customHeight="1">
      <c r="C790" s="198"/>
      <c r="D790" s="203">
        <f t="shared" si="198"/>
        <v>790</v>
      </c>
      <c r="E790" s="207" t="s">
        <v>190</v>
      </c>
      <c r="F790" s="211"/>
      <c r="G790" s="206" t="s">
        <v>44</v>
      </c>
      <c r="H790" s="206"/>
      <c r="I790" s="224">
        <v>12</v>
      </c>
      <c r="J790" s="208"/>
      <c r="K790" s="234">
        <v>1</v>
      </c>
      <c r="L790" s="208" t="s">
        <v>81</v>
      </c>
      <c r="M790" s="235">
        <f t="shared" ref="M790:M793" si="208">K790</f>
        <v>1</v>
      </c>
      <c r="N790" s="208" t="s">
        <v>81</v>
      </c>
      <c r="O790" s="218">
        <v>4</v>
      </c>
      <c r="P790" s="208" t="s">
        <v>162</v>
      </c>
      <c r="Q790" s="240">
        <f t="shared" ref="Q790:Q793" si="209">M790*O790</f>
        <v>4</v>
      </c>
      <c r="R790" s="239"/>
      <c r="S790" s="240">
        <f t="shared" si="174"/>
        <v>4</v>
      </c>
      <c r="T790" s="216" t="s">
        <v>48</v>
      </c>
      <c r="U790" s="196" t="str">
        <f t="shared" si="172"/>
        <v>4 Hrs</v>
      </c>
    </row>
    <row r="791" spans="3:21" s="185" customFormat="1" ht="20.25" customHeight="1">
      <c r="C791" s="198"/>
      <c r="D791" s="203">
        <f t="shared" si="198"/>
        <v>791</v>
      </c>
      <c r="E791" s="207" t="s">
        <v>191</v>
      </c>
      <c r="F791" s="211">
        <f t="shared" ref="F791:F798" si="210">D790</f>
        <v>790</v>
      </c>
      <c r="G791" s="206" t="s">
        <v>52</v>
      </c>
      <c r="H791" s="206"/>
      <c r="I791" s="208"/>
      <c r="J791" s="208"/>
      <c r="K791" s="234">
        <v>1</v>
      </c>
      <c r="L791" s="208" t="s">
        <v>81</v>
      </c>
      <c r="M791" s="235">
        <f t="shared" si="208"/>
        <v>1</v>
      </c>
      <c r="N791" s="208" t="s">
        <v>81</v>
      </c>
      <c r="O791" s="218">
        <v>4</v>
      </c>
      <c r="P791" s="208" t="s">
        <v>162</v>
      </c>
      <c r="Q791" s="240">
        <f t="shared" si="209"/>
        <v>4</v>
      </c>
      <c r="R791" s="239"/>
      <c r="S791" s="240">
        <f t="shared" si="174"/>
        <v>4</v>
      </c>
      <c r="T791" s="216" t="s">
        <v>48</v>
      </c>
      <c r="U791" s="196" t="str">
        <f t="shared" si="172"/>
        <v>4 Hrs</v>
      </c>
    </row>
    <row r="792" spans="3:21" s="185" customFormat="1" ht="20.25" customHeight="1">
      <c r="C792" s="198"/>
      <c r="D792" s="203">
        <f t="shared" si="198"/>
        <v>792</v>
      </c>
      <c r="E792" s="207" t="s">
        <v>192</v>
      </c>
      <c r="F792" s="211">
        <f t="shared" si="210"/>
        <v>791</v>
      </c>
      <c r="G792" s="206" t="s">
        <v>44</v>
      </c>
      <c r="H792" s="206"/>
      <c r="I792" s="208"/>
      <c r="J792" s="208"/>
      <c r="K792" s="234">
        <v>1</v>
      </c>
      <c r="L792" s="208" t="s">
        <v>81</v>
      </c>
      <c r="M792" s="235">
        <f t="shared" si="208"/>
        <v>1</v>
      </c>
      <c r="N792" s="208" t="s">
        <v>81</v>
      </c>
      <c r="O792" s="218">
        <v>2</v>
      </c>
      <c r="P792" s="208" t="s">
        <v>162</v>
      </c>
      <c r="Q792" s="240">
        <f t="shared" si="209"/>
        <v>2</v>
      </c>
      <c r="R792" s="239"/>
      <c r="S792" s="240">
        <f t="shared" si="174"/>
        <v>2</v>
      </c>
      <c r="T792" s="216" t="s">
        <v>48</v>
      </c>
      <c r="U792" s="196" t="str">
        <f t="shared" si="172"/>
        <v>2 Hrs</v>
      </c>
    </row>
    <row r="793" spans="3:21" s="185" customFormat="1" ht="20.25" customHeight="1">
      <c r="C793" s="198"/>
      <c r="D793" s="203">
        <f t="shared" si="198"/>
        <v>793</v>
      </c>
      <c r="E793" s="207" t="s">
        <v>193</v>
      </c>
      <c r="F793" s="211">
        <f t="shared" si="210"/>
        <v>792</v>
      </c>
      <c r="G793" s="206" t="s">
        <v>44</v>
      </c>
      <c r="H793" s="206"/>
      <c r="I793" s="208"/>
      <c r="J793" s="208"/>
      <c r="K793" s="234">
        <v>1</v>
      </c>
      <c r="L793" s="208" t="s">
        <v>81</v>
      </c>
      <c r="M793" s="235">
        <f t="shared" si="208"/>
        <v>1</v>
      </c>
      <c r="N793" s="208" t="s">
        <v>81</v>
      </c>
      <c r="O793" s="218">
        <v>1</v>
      </c>
      <c r="P793" s="208" t="s">
        <v>162</v>
      </c>
      <c r="Q793" s="240">
        <f t="shared" si="209"/>
        <v>1</v>
      </c>
      <c r="R793" s="239"/>
      <c r="S793" s="240">
        <f t="shared" si="174"/>
        <v>1</v>
      </c>
      <c r="T793" s="216" t="s">
        <v>48</v>
      </c>
      <c r="U793" s="196" t="str">
        <f t="shared" si="172"/>
        <v>1 Hrs</v>
      </c>
    </row>
    <row r="794" spans="3:21" s="185" customFormat="1" ht="20.25" customHeight="1">
      <c r="C794" s="198">
        <f t="shared" ref="C794:C795" si="211">D794</f>
        <v>794</v>
      </c>
      <c r="D794" s="203">
        <f t="shared" si="198"/>
        <v>794</v>
      </c>
      <c r="E794" s="247" t="s">
        <v>194</v>
      </c>
      <c r="F794" s="210"/>
      <c r="G794" s="206"/>
      <c r="H794" s="206"/>
      <c r="I794" s="208"/>
      <c r="J794" s="208"/>
      <c r="K794" s="234"/>
      <c r="L794" s="208"/>
      <c r="M794" s="217"/>
      <c r="N794" s="208"/>
      <c r="O794" s="218"/>
      <c r="P794" s="208"/>
      <c r="Q794" s="240"/>
      <c r="R794" s="239"/>
      <c r="S794" s="240"/>
      <c r="T794" s="216"/>
      <c r="U794" s="196"/>
    </row>
    <row r="795" spans="3:21" s="185" customFormat="1" ht="20.25" customHeight="1">
      <c r="C795" s="198">
        <f t="shared" si="211"/>
        <v>795</v>
      </c>
      <c r="D795" s="203">
        <f t="shared" si="198"/>
        <v>795</v>
      </c>
      <c r="E795" s="204" t="s">
        <v>195</v>
      </c>
      <c r="F795" s="210">
        <f t="shared" si="210"/>
        <v>794</v>
      </c>
      <c r="G795" s="206"/>
      <c r="H795" s="206"/>
      <c r="I795" s="208"/>
      <c r="J795" s="208"/>
      <c r="K795" s="234"/>
      <c r="L795" s="208"/>
      <c r="M795" s="217"/>
      <c r="N795" s="208"/>
      <c r="O795" s="218"/>
      <c r="P795" s="208"/>
      <c r="Q795" s="240"/>
      <c r="R795" s="239"/>
      <c r="S795" s="240"/>
      <c r="T795" s="216"/>
      <c r="U795" s="196"/>
    </row>
    <row r="796" spans="3:21" s="185" customFormat="1" ht="20.25" customHeight="1">
      <c r="C796" s="198"/>
      <c r="D796" s="203">
        <f t="shared" si="198"/>
        <v>796</v>
      </c>
      <c r="E796" s="207" t="s">
        <v>196</v>
      </c>
      <c r="F796" s="211">
        <f t="shared" si="210"/>
        <v>795</v>
      </c>
      <c r="G796" s="206"/>
      <c r="H796" s="206"/>
      <c r="I796" s="208"/>
      <c r="J796" s="208"/>
      <c r="K796" s="234">
        <v>1</v>
      </c>
      <c r="L796" s="208" t="s">
        <v>81</v>
      </c>
      <c r="M796" s="235">
        <f t="shared" ref="M796" si="212">K796</f>
        <v>1</v>
      </c>
      <c r="N796" s="208" t="s">
        <v>84</v>
      </c>
      <c r="O796" s="218">
        <v>4</v>
      </c>
      <c r="P796" s="208" t="s">
        <v>41</v>
      </c>
      <c r="Q796" s="240">
        <f t="shared" ref="Q796:Q798" si="213">M796*O796</f>
        <v>4</v>
      </c>
      <c r="R796" s="239"/>
      <c r="S796" s="240">
        <f t="shared" si="174"/>
        <v>4</v>
      </c>
      <c r="T796" s="216" t="s">
        <v>48</v>
      </c>
      <c r="U796" s="196" t="str">
        <f t="shared" ref="U796:U859" si="214">CONCATENATE(S796," ",T796)</f>
        <v>4 Hrs</v>
      </c>
    </row>
    <row r="797" spans="3:21" s="185" customFormat="1" ht="20.25" customHeight="1">
      <c r="C797" s="198"/>
      <c r="D797" s="203">
        <f t="shared" si="198"/>
        <v>797</v>
      </c>
      <c r="E797" s="207" t="s">
        <v>197</v>
      </c>
      <c r="F797" s="211">
        <f t="shared" si="210"/>
        <v>796</v>
      </c>
      <c r="G797" s="206" t="s">
        <v>44</v>
      </c>
      <c r="H797" s="206"/>
      <c r="I797" s="224">
        <v>14</v>
      </c>
      <c r="J797" s="208"/>
      <c r="K797" s="234">
        <v>19</v>
      </c>
      <c r="L797" s="208" t="s">
        <v>81</v>
      </c>
      <c r="M797" s="217">
        <v>1</v>
      </c>
      <c r="N797" s="208" t="s">
        <v>84</v>
      </c>
      <c r="O797" s="218">
        <v>1</v>
      </c>
      <c r="P797" s="208" t="s">
        <v>41</v>
      </c>
      <c r="Q797" s="240">
        <f t="shared" si="213"/>
        <v>1</v>
      </c>
      <c r="R797" s="239"/>
      <c r="S797" s="240">
        <f t="shared" ref="S797:S859" si="215">ROUND(Q797+R797,2)</f>
        <v>1</v>
      </c>
      <c r="T797" s="216" t="s">
        <v>48</v>
      </c>
      <c r="U797" s="196" t="str">
        <f t="shared" si="214"/>
        <v>1 Hrs</v>
      </c>
    </row>
    <row r="798" spans="3:21" s="185" customFormat="1" ht="20.25" customHeight="1">
      <c r="C798" s="198"/>
      <c r="D798" s="203">
        <f t="shared" si="198"/>
        <v>798</v>
      </c>
      <c r="E798" s="207" t="s">
        <v>198</v>
      </c>
      <c r="F798" s="211">
        <f t="shared" si="210"/>
        <v>797</v>
      </c>
      <c r="G798" s="206" t="s">
        <v>52</v>
      </c>
      <c r="H798" s="206"/>
      <c r="I798" s="208"/>
      <c r="J798" s="208"/>
      <c r="K798" s="234">
        <v>19</v>
      </c>
      <c r="L798" s="208" t="s">
        <v>81</v>
      </c>
      <c r="M798" s="217">
        <v>1</v>
      </c>
      <c r="N798" s="208" t="s">
        <v>84</v>
      </c>
      <c r="O798" s="218">
        <v>5</v>
      </c>
      <c r="P798" s="208" t="s">
        <v>41</v>
      </c>
      <c r="Q798" s="240">
        <f t="shared" si="213"/>
        <v>5</v>
      </c>
      <c r="R798" s="239"/>
      <c r="S798" s="240">
        <f t="shared" si="215"/>
        <v>5</v>
      </c>
      <c r="T798" s="216" t="s">
        <v>48</v>
      </c>
      <c r="U798" s="196" t="str">
        <f t="shared" si="214"/>
        <v>5 Hrs</v>
      </c>
    </row>
    <row r="799" spans="3:21" s="185" customFormat="1" ht="20.25" customHeight="1">
      <c r="C799" s="198">
        <f>D799</f>
        <v>799</v>
      </c>
      <c r="D799" s="203">
        <f t="shared" si="198"/>
        <v>799</v>
      </c>
      <c r="E799" s="204" t="s">
        <v>199</v>
      </c>
      <c r="F799" s="210">
        <f>D795</f>
        <v>795</v>
      </c>
      <c r="G799" s="206"/>
      <c r="H799" s="206"/>
      <c r="I799" s="208"/>
      <c r="J799" s="208"/>
      <c r="K799" s="234"/>
      <c r="L799" s="208"/>
      <c r="M799" s="217"/>
      <c r="N799" s="208"/>
      <c r="O799" s="218"/>
      <c r="P799" s="208"/>
      <c r="Q799" s="240"/>
      <c r="R799" s="239"/>
      <c r="S799" s="240"/>
      <c r="T799" s="216"/>
      <c r="U799" s="196"/>
    </row>
    <row r="800" spans="3:21" s="185" customFormat="1" ht="20.25" customHeight="1">
      <c r="C800" s="198"/>
      <c r="D800" s="203">
        <f t="shared" si="198"/>
        <v>800</v>
      </c>
      <c r="E800" s="207" t="s">
        <v>200</v>
      </c>
      <c r="F800" s="211"/>
      <c r="G800" s="206" t="s">
        <v>201</v>
      </c>
      <c r="H800" s="206"/>
      <c r="I800" s="208"/>
      <c r="J800" s="208"/>
      <c r="K800" s="234">
        <v>19</v>
      </c>
      <c r="L800" s="208" t="s">
        <v>81</v>
      </c>
      <c r="M800" s="235">
        <f t="shared" ref="M800" si="216">K800</f>
        <v>19</v>
      </c>
      <c r="N800" s="208" t="s">
        <v>81</v>
      </c>
      <c r="O800" s="218">
        <v>1</v>
      </c>
      <c r="P800" s="208" t="s">
        <v>162</v>
      </c>
      <c r="Q800" s="240">
        <f t="shared" ref="Q800:Q801" si="217">M800*O800</f>
        <v>19</v>
      </c>
      <c r="R800" s="239"/>
      <c r="S800" s="240">
        <f t="shared" si="215"/>
        <v>19</v>
      </c>
      <c r="T800" s="216" t="s">
        <v>48</v>
      </c>
      <c r="U800" s="196" t="str">
        <f t="shared" si="214"/>
        <v>19 Hrs</v>
      </c>
    </row>
    <row r="801" spans="3:21" s="185" customFormat="1" ht="20.25" customHeight="1">
      <c r="C801" s="198"/>
      <c r="D801" s="203">
        <f t="shared" si="198"/>
        <v>801</v>
      </c>
      <c r="E801" s="207" t="s">
        <v>202</v>
      </c>
      <c r="F801" s="211">
        <f t="shared" ref="F801" si="218">D800</f>
        <v>800</v>
      </c>
      <c r="G801" s="206" t="s">
        <v>44</v>
      </c>
      <c r="H801" s="206"/>
      <c r="I801" s="208"/>
      <c r="J801" s="208" t="s">
        <v>203</v>
      </c>
      <c r="K801" s="234">
        <v>3</v>
      </c>
      <c r="L801" s="208" t="s">
        <v>81</v>
      </c>
      <c r="M801" s="235">
        <v>3</v>
      </c>
      <c r="N801" s="208" t="s">
        <v>81</v>
      </c>
      <c r="O801" s="218">
        <v>2</v>
      </c>
      <c r="P801" s="208" t="s">
        <v>162</v>
      </c>
      <c r="Q801" s="240">
        <f t="shared" si="217"/>
        <v>6</v>
      </c>
      <c r="R801" s="239"/>
      <c r="S801" s="240">
        <f t="shared" si="215"/>
        <v>6</v>
      </c>
      <c r="T801" s="216" t="s">
        <v>48</v>
      </c>
      <c r="U801" s="196" t="str">
        <f t="shared" si="214"/>
        <v>6 Hrs</v>
      </c>
    </row>
    <row r="802" spans="3:21" s="185" customFormat="1" ht="20.25" customHeight="1">
      <c r="C802" s="198">
        <f>D802</f>
        <v>802</v>
      </c>
      <c r="D802" s="203">
        <f t="shared" si="198"/>
        <v>802</v>
      </c>
      <c r="E802" s="204" t="s">
        <v>204</v>
      </c>
      <c r="F802" s="210">
        <f>D799</f>
        <v>799</v>
      </c>
      <c r="G802" s="206"/>
      <c r="H802" s="206"/>
      <c r="I802" s="208"/>
      <c r="J802" s="208"/>
      <c r="K802" s="234"/>
      <c r="L802" s="208"/>
      <c r="M802" s="217"/>
      <c r="N802" s="208"/>
      <c r="O802" s="218"/>
      <c r="P802" s="208"/>
      <c r="Q802" s="240"/>
      <c r="R802" s="239"/>
      <c r="S802" s="240"/>
      <c r="T802" s="216"/>
      <c r="U802" s="196"/>
    </row>
    <row r="803" spans="3:21" s="185" customFormat="1" ht="20.25" customHeight="1">
      <c r="C803" s="198"/>
      <c r="D803" s="203">
        <f t="shared" si="198"/>
        <v>803</v>
      </c>
      <c r="E803" s="207" t="s">
        <v>204</v>
      </c>
      <c r="F803" s="211"/>
      <c r="G803" s="206" t="s">
        <v>55</v>
      </c>
      <c r="H803" s="206"/>
      <c r="I803" s="224" t="s">
        <v>205</v>
      </c>
      <c r="J803" s="208"/>
      <c r="K803" s="234">
        <v>3</v>
      </c>
      <c r="L803" s="208" t="s">
        <v>206</v>
      </c>
      <c r="M803" s="217">
        <v>1</v>
      </c>
      <c r="N803" s="208" t="s">
        <v>84</v>
      </c>
      <c r="O803" s="218">
        <v>10</v>
      </c>
      <c r="P803" s="208" t="s">
        <v>41</v>
      </c>
      <c r="Q803" s="240">
        <f t="shared" ref="Q803" si="219">M803*O803</f>
        <v>10</v>
      </c>
      <c r="R803" s="239"/>
      <c r="S803" s="240">
        <f t="shared" si="215"/>
        <v>10</v>
      </c>
      <c r="T803" s="216" t="s">
        <v>42</v>
      </c>
      <c r="U803" s="196" t="str">
        <f t="shared" si="214"/>
        <v>10 Days</v>
      </c>
    </row>
    <row r="804" spans="3:21" s="185" customFormat="1" ht="20.25" customHeight="1">
      <c r="C804" s="198">
        <f>D804</f>
        <v>804</v>
      </c>
      <c r="D804" s="203">
        <f t="shared" si="198"/>
        <v>804</v>
      </c>
      <c r="E804" s="204" t="s">
        <v>207</v>
      </c>
      <c r="F804" s="210">
        <f>D802</f>
        <v>802</v>
      </c>
      <c r="G804" s="206"/>
      <c r="H804" s="206"/>
      <c r="I804" s="208"/>
      <c r="J804" s="208"/>
      <c r="K804" s="234"/>
      <c r="L804" s="208"/>
      <c r="M804" s="217"/>
      <c r="N804" s="208"/>
      <c r="O804" s="218"/>
      <c r="P804" s="208"/>
      <c r="Q804" s="240"/>
      <c r="R804" s="239"/>
      <c r="S804" s="240"/>
      <c r="T804" s="216"/>
      <c r="U804" s="196"/>
    </row>
    <row r="805" spans="3:21" s="185" customFormat="1" ht="20.25" customHeight="1">
      <c r="C805" s="198"/>
      <c r="D805" s="203">
        <f t="shared" si="198"/>
        <v>805</v>
      </c>
      <c r="E805" s="207" t="s">
        <v>208</v>
      </c>
      <c r="F805" s="211"/>
      <c r="G805" s="206" t="s">
        <v>44</v>
      </c>
      <c r="H805" s="206"/>
      <c r="I805" s="208"/>
      <c r="J805" s="208"/>
      <c r="K805" s="234">
        <v>3</v>
      </c>
      <c r="L805" s="208" t="s">
        <v>206</v>
      </c>
      <c r="M805" s="217">
        <v>4</v>
      </c>
      <c r="N805" s="208" t="s">
        <v>206</v>
      </c>
      <c r="O805" s="218">
        <v>6</v>
      </c>
      <c r="P805" s="208" t="s">
        <v>48</v>
      </c>
      <c r="Q805" s="240">
        <f t="shared" ref="Q805:Q806" si="220">M805*O805</f>
        <v>24</v>
      </c>
      <c r="R805" s="239"/>
      <c r="S805" s="240">
        <f t="shared" si="215"/>
        <v>24</v>
      </c>
      <c r="T805" s="243" t="s">
        <v>48</v>
      </c>
      <c r="U805" s="196" t="str">
        <f t="shared" si="214"/>
        <v>24 Hrs</v>
      </c>
    </row>
    <row r="806" spans="3:21" s="185" customFormat="1" ht="20.25" customHeight="1">
      <c r="C806" s="198"/>
      <c r="D806" s="203">
        <f t="shared" si="198"/>
        <v>806</v>
      </c>
      <c r="E806" s="207" t="s">
        <v>209</v>
      </c>
      <c r="F806" s="211">
        <f t="shared" ref="F806" si="221">D805</f>
        <v>805</v>
      </c>
      <c r="G806" s="206" t="s">
        <v>63</v>
      </c>
      <c r="H806" s="206"/>
      <c r="I806" s="208"/>
      <c r="J806" s="208"/>
      <c r="K806" s="234">
        <v>9</v>
      </c>
      <c r="L806" s="208" t="s">
        <v>81</v>
      </c>
      <c r="M806" s="235">
        <f>1308*9*2</f>
        <v>23544</v>
      </c>
      <c r="N806" s="208" t="s">
        <v>210</v>
      </c>
      <c r="O806" s="246">
        <f>1/100</f>
        <v>0.01</v>
      </c>
      <c r="P806" s="208"/>
      <c r="Q806" s="240">
        <f t="shared" si="220"/>
        <v>235.44</v>
      </c>
      <c r="R806" s="239"/>
      <c r="S806" s="240">
        <f t="shared" si="215"/>
        <v>235.44</v>
      </c>
      <c r="T806" s="216" t="s">
        <v>42</v>
      </c>
      <c r="U806" s="196" t="str">
        <f t="shared" si="214"/>
        <v>235.44 Days</v>
      </c>
    </row>
    <row r="807" spans="3:21" s="185" customFormat="1" ht="20.25" customHeight="1">
      <c r="C807" s="198">
        <f>D807</f>
        <v>807</v>
      </c>
      <c r="D807" s="203">
        <f t="shared" si="198"/>
        <v>807</v>
      </c>
      <c r="E807" s="204" t="s">
        <v>211</v>
      </c>
      <c r="F807" s="210">
        <f>D804</f>
        <v>804</v>
      </c>
      <c r="G807" s="206"/>
      <c r="H807" s="206"/>
      <c r="I807" s="208"/>
      <c r="J807" s="208"/>
      <c r="K807" s="234"/>
      <c r="L807" s="208"/>
      <c r="M807" s="217"/>
      <c r="N807" s="208"/>
      <c r="O807" s="218"/>
      <c r="P807" s="208"/>
      <c r="Q807" s="240"/>
      <c r="R807" s="239"/>
      <c r="S807" s="240"/>
      <c r="T807" s="216"/>
      <c r="U807" s="196"/>
    </row>
    <row r="808" spans="3:21" s="185" customFormat="1" ht="20.25" customHeight="1">
      <c r="C808" s="198"/>
      <c r="D808" s="203">
        <f t="shared" si="198"/>
        <v>808</v>
      </c>
      <c r="E808" s="207" t="s">
        <v>212</v>
      </c>
      <c r="F808" s="211"/>
      <c r="G808" s="206" t="s">
        <v>44</v>
      </c>
      <c r="H808" s="206"/>
      <c r="I808" s="208"/>
      <c r="J808" s="208"/>
      <c r="K808" s="234">
        <v>3</v>
      </c>
      <c r="L808" s="208" t="s">
        <v>81</v>
      </c>
      <c r="M808" s="235">
        <f t="shared" ref="M808" si="222">K808</f>
        <v>3</v>
      </c>
      <c r="N808" s="208" t="s">
        <v>81</v>
      </c>
      <c r="O808" s="218">
        <v>0.25</v>
      </c>
      <c r="P808" s="208" t="s">
        <v>162</v>
      </c>
      <c r="Q808" s="240">
        <f t="shared" ref="Q808:Q812" si="223">M808*O808</f>
        <v>0.75</v>
      </c>
      <c r="R808" s="239"/>
      <c r="S808" s="240">
        <f t="shared" si="215"/>
        <v>0.75</v>
      </c>
      <c r="T808" s="216" t="s">
        <v>48</v>
      </c>
      <c r="U808" s="196" t="str">
        <f t="shared" si="214"/>
        <v>0.75 Hrs</v>
      </c>
    </row>
    <row r="809" spans="3:21" s="185" customFormat="1" ht="20.25" customHeight="1">
      <c r="C809" s="198"/>
      <c r="D809" s="203">
        <f t="shared" si="198"/>
        <v>809</v>
      </c>
      <c r="E809" s="207" t="s">
        <v>213</v>
      </c>
      <c r="F809" s="211">
        <f t="shared" ref="F809:F812" si="224">D808</f>
        <v>808</v>
      </c>
      <c r="G809" s="206" t="s">
        <v>44</v>
      </c>
      <c r="H809" s="206"/>
      <c r="I809" s="208"/>
      <c r="J809" s="208"/>
      <c r="K809" s="234">
        <v>3</v>
      </c>
      <c r="L809" s="208" t="s">
        <v>81</v>
      </c>
      <c r="M809" s="217">
        <v>1</v>
      </c>
      <c r="N809" s="208" t="s">
        <v>160</v>
      </c>
      <c r="O809" s="218">
        <v>1</v>
      </c>
      <c r="P809" s="208" t="s">
        <v>48</v>
      </c>
      <c r="Q809" s="240">
        <f t="shared" si="223"/>
        <v>1</v>
      </c>
      <c r="R809" s="239"/>
      <c r="S809" s="240">
        <f t="shared" si="215"/>
        <v>1</v>
      </c>
      <c r="T809" s="216" t="s">
        <v>48</v>
      </c>
      <c r="U809" s="196" t="str">
        <f t="shared" si="214"/>
        <v>1 Hrs</v>
      </c>
    </row>
    <row r="810" spans="3:21" s="185" customFormat="1" ht="20.25" customHeight="1">
      <c r="C810" s="198"/>
      <c r="D810" s="203">
        <f t="shared" si="198"/>
        <v>810</v>
      </c>
      <c r="E810" s="207" t="s">
        <v>214</v>
      </c>
      <c r="F810" s="211">
        <f t="shared" si="224"/>
        <v>809</v>
      </c>
      <c r="G810" s="206" t="s">
        <v>55</v>
      </c>
      <c r="H810" s="206"/>
      <c r="I810" s="208"/>
      <c r="J810" s="208"/>
      <c r="K810" s="234">
        <v>3</v>
      </c>
      <c r="L810" s="208" t="s">
        <v>81</v>
      </c>
      <c r="M810" s="217">
        <v>1</v>
      </c>
      <c r="N810" s="208" t="s">
        <v>160</v>
      </c>
      <c r="O810" s="218">
        <v>5</v>
      </c>
      <c r="P810" s="208" t="s">
        <v>41</v>
      </c>
      <c r="Q810" s="240">
        <f t="shared" si="223"/>
        <v>5</v>
      </c>
      <c r="R810" s="239"/>
      <c r="S810" s="240">
        <f t="shared" si="215"/>
        <v>5</v>
      </c>
      <c r="T810" s="216" t="s">
        <v>42</v>
      </c>
      <c r="U810" s="196" t="str">
        <f t="shared" si="214"/>
        <v>5 Days</v>
      </c>
    </row>
    <row r="811" spans="3:21" s="185" customFormat="1" ht="20.25" customHeight="1">
      <c r="C811" s="198"/>
      <c r="D811" s="203">
        <f t="shared" si="198"/>
        <v>811</v>
      </c>
      <c r="E811" s="207" t="s">
        <v>215</v>
      </c>
      <c r="F811" s="211">
        <f t="shared" si="224"/>
        <v>810</v>
      </c>
      <c r="G811" s="206" t="s">
        <v>55</v>
      </c>
      <c r="H811" s="206"/>
      <c r="I811" s="208"/>
      <c r="J811" s="208"/>
      <c r="K811" s="234">
        <v>3</v>
      </c>
      <c r="L811" s="208" t="s">
        <v>81</v>
      </c>
      <c r="M811" s="217">
        <v>1</v>
      </c>
      <c r="N811" s="208" t="s">
        <v>160</v>
      </c>
      <c r="O811" s="218">
        <v>5</v>
      </c>
      <c r="P811" s="208" t="s">
        <v>41</v>
      </c>
      <c r="Q811" s="240">
        <f t="shared" si="223"/>
        <v>5</v>
      </c>
      <c r="R811" s="239"/>
      <c r="S811" s="240">
        <f t="shared" si="215"/>
        <v>5</v>
      </c>
      <c r="T811" s="216" t="s">
        <v>42</v>
      </c>
      <c r="U811" s="196" t="str">
        <f t="shared" si="214"/>
        <v>5 Days</v>
      </c>
    </row>
    <row r="812" spans="3:21" s="185" customFormat="1" ht="20.25" customHeight="1">
      <c r="C812" s="198"/>
      <c r="D812" s="203">
        <f t="shared" si="198"/>
        <v>812</v>
      </c>
      <c r="E812" s="207" t="s">
        <v>216</v>
      </c>
      <c r="F812" s="211">
        <f t="shared" si="224"/>
        <v>811</v>
      </c>
      <c r="G812" s="206" t="s">
        <v>217</v>
      </c>
      <c r="H812" s="206"/>
      <c r="I812" s="208"/>
      <c r="J812" s="208"/>
      <c r="K812" s="234">
        <v>3</v>
      </c>
      <c r="L812" s="208" t="s">
        <v>81</v>
      </c>
      <c r="M812" s="217">
        <v>1</v>
      </c>
      <c r="N812" s="208" t="s">
        <v>160</v>
      </c>
      <c r="O812" s="218">
        <v>1</v>
      </c>
      <c r="P812" s="208" t="s">
        <v>41</v>
      </c>
      <c r="Q812" s="240">
        <f t="shared" si="223"/>
        <v>1</v>
      </c>
      <c r="R812" s="239"/>
      <c r="S812" s="240">
        <f t="shared" si="215"/>
        <v>1</v>
      </c>
      <c r="T812" s="216" t="s">
        <v>42</v>
      </c>
      <c r="U812" s="196" t="str">
        <f t="shared" si="214"/>
        <v>1 Days</v>
      </c>
    </row>
    <row r="813" spans="3:21" s="185" customFormat="1" ht="20.25" customHeight="1">
      <c r="C813" s="198">
        <f>D813</f>
        <v>813</v>
      </c>
      <c r="D813" s="203">
        <f t="shared" si="198"/>
        <v>813</v>
      </c>
      <c r="E813" s="204" t="s">
        <v>218</v>
      </c>
      <c r="F813" s="210">
        <f>D807</f>
        <v>807</v>
      </c>
      <c r="G813" s="206"/>
      <c r="H813" s="206"/>
      <c r="I813" s="208"/>
      <c r="J813" s="208"/>
      <c r="K813" s="234"/>
      <c r="L813" s="208"/>
      <c r="M813" s="217"/>
      <c r="N813" s="208"/>
      <c r="O813" s="218"/>
      <c r="P813" s="208"/>
      <c r="Q813" s="240"/>
      <c r="R813" s="239"/>
      <c r="S813" s="240"/>
      <c r="T813" s="216"/>
      <c r="U813" s="196"/>
    </row>
    <row r="814" spans="3:21" s="185" customFormat="1" ht="20.25" customHeight="1">
      <c r="C814" s="198"/>
      <c r="D814" s="203">
        <f t="shared" si="198"/>
        <v>814</v>
      </c>
      <c r="E814" s="207" t="s">
        <v>219</v>
      </c>
      <c r="F814" s="211"/>
      <c r="G814" s="206"/>
      <c r="H814" s="206"/>
      <c r="I814" s="208"/>
      <c r="J814" s="208"/>
      <c r="K814" s="234">
        <v>2</v>
      </c>
      <c r="L814" s="208" t="s">
        <v>81</v>
      </c>
      <c r="M814" s="235">
        <v>1</v>
      </c>
      <c r="N814" s="208" t="s">
        <v>84</v>
      </c>
      <c r="O814" s="218">
        <v>4</v>
      </c>
      <c r="P814" s="208" t="s">
        <v>41</v>
      </c>
      <c r="Q814" s="240">
        <f t="shared" ref="Q814:Q816" si="225">M814*O814</f>
        <v>4</v>
      </c>
      <c r="R814" s="239"/>
      <c r="S814" s="240">
        <f t="shared" si="215"/>
        <v>4</v>
      </c>
      <c r="T814" s="216" t="s">
        <v>42</v>
      </c>
      <c r="U814" s="196" t="str">
        <f t="shared" si="214"/>
        <v>4 Days</v>
      </c>
    </row>
    <row r="815" spans="3:21" s="185" customFormat="1" ht="20.25" customHeight="1">
      <c r="C815" s="198"/>
      <c r="D815" s="203">
        <f t="shared" si="198"/>
        <v>815</v>
      </c>
      <c r="E815" s="207" t="s">
        <v>220</v>
      </c>
      <c r="F815" s="211">
        <f t="shared" ref="F815:F816" si="226">D814</f>
        <v>814</v>
      </c>
      <c r="G815" s="206" t="s">
        <v>55</v>
      </c>
      <c r="H815" s="206"/>
      <c r="I815" s="224">
        <v>20</v>
      </c>
      <c r="J815" s="208"/>
      <c r="K815" s="234">
        <v>2</v>
      </c>
      <c r="L815" s="208" t="s">
        <v>81</v>
      </c>
      <c r="M815" s="217">
        <v>1</v>
      </c>
      <c r="N815" s="208" t="s">
        <v>84</v>
      </c>
      <c r="O815" s="218">
        <v>1</v>
      </c>
      <c r="P815" s="208" t="s">
        <v>41</v>
      </c>
      <c r="Q815" s="240">
        <f t="shared" si="225"/>
        <v>1</v>
      </c>
      <c r="R815" s="239"/>
      <c r="S815" s="240">
        <f t="shared" si="215"/>
        <v>1</v>
      </c>
      <c r="T815" s="216" t="s">
        <v>42</v>
      </c>
      <c r="U815" s="196" t="str">
        <f t="shared" si="214"/>
        <v>1 Days</v>
      </c>
    </row>
    <row r="816" spans="3:21" s="185" customFormat="1" ht="20.25" customHeight="1">
      <c r="C816" s="198"/>
      <c r="D816" s="203">
        <f t="shared" si="198"/>
        <v>816</v>
      </c>
      <c r="E816" s="207" t="s">
        <v>221</v>
      </c>
      <c r="F816" s="211">
        <f t="shared" si="226"/>
        <v>815</v>
      </c>
      <c r="G816" s="206" t="s">
        <v>55</v>
      </c>
      <c r="H816" s="206"/>
      <c r="I816" s="208"/>
      <c r="J816" s="208"/>
      <c r="K816" s="234">
        <v>2</v>
      </c>
      <c r="L816" s="208" t="s">
        <v>81</v>
      </c>
      <c r="M816" s="217">
        <v>1</v>
      </c>
      <c r="N816" s="208" t="s">
        <v>84</v>
      </c>
      <c r="O816" s="218">
        <v>5</v>
      </c>
      <c r="P816" s="208" t="s">
        <v>41</v>
      </c>
      <c r="Q816" s="240">
        <f t="shared" si="225"/>
        <v>5</v>
      </c>
      <c r="R816" s="239"/>
      <c r="S816" s="240">
        <f t="shared" si="215"/>
        <v>5</v>
      </c>
      <c r="T816" s="216" t="s">
        <v>42</v>
      </c>
      <c r="U816" s="196" t="str">
        <f t="shared" si="214"/>
        <v>5 Days</v>
      </c>
    </row>
    <row r="817" spans="3:21" s="185" customFormat="1" ht="20.25" customHeight="1">
      <c r="C817" s="198">
        <f>D817</f>
        <v>817</v>
      </c>
      <c r="D817" s="203">
        <f t="shared" si="198"/>
        <v>817</v>
      </c>
      <c r="E817" s="204" t="s">
        <v>222</v>
      </c>
      <c r="F817" s="210">
        <f>D813</f>
        <v>813</v>
      </c>
      <c r="G817" s="206"/>
      <c r="H817" s="206"/>
      <c r="I817" s="208"/>
      <c r="J817" s="208"/>
      <c r="K817" s="234"/>
      <c r="L817" s="208"/>
      <c r="M817" s="217"/>
      <c r="N817" s="208"/>
      <c r="O817" s="218"/>
      <c r="P817" s="208"/>
      <c r="Q817" s="240"/>
      <c r="R817" s="239"/>
      <c r="S817" s="240"/>
      <c r="T817" s="216"/>
      <c r="U817" s="196"/>
    </row>
    <row r="818" spans="3:21" s="185" customFormat="1" ht="20.25" customHeight="1">
      <c r="C818" s="198"/>
      <c r="D818" s="203">
        <f t="shared" si="198"/>
        <v>818</v>
      </c>
      <c r="E818" s="207" t="s">
        <v>223</v>
      </c>
      <c r="F818" s="211"/>
      <c r="G818" s="206" t="s">
        <v>224</v>
      </c>
      <c r="H818" s="206"/>
      <c r="I818" s="208"/>
      <c r="J818" s="208"/>
      <c r="K818" s="234">
        <v>2</v>
      </c>
      <c r="L818" s="208" t="s">
        <v>81</v>
      </c>
      <c r="M818" s="235">
        <f t="shared" ref="M818:M819" si="227">K818</f>
        <v>2</v>
      </c>
      <c r="N818" s="208" t="s">
        <v>81</v>
      </c>
      <c r="O818" s="218">
        <v>2</v>
      </c>
      <c r="P818" s="208" t="s">
        <v>162</v>
      </c>
      <c r="Q818" s="240">
        <f t="shared" ref="Q818:Q819" si="228">M818*O818</f>
        <v>4</v>
      </c>
      <c r="R818" s="239"/>
      <c r="S818" s="240">
        <f t="shared" si="215"/>
        <v>4</v>
      </c>
      <c r="T818" s="243" t="s">
        <v>48</v>
      </c>
      <c r="U818" s="196" t="str">
        <f t="shared" si="214"/>
        <v>4 Hrs</v>
      </c>
    </row>
    <row r="819" spans="3:21" s="185" customFormat="1" ht="20.25" customHeight="1">
      <c r="C819" s="198"/>
      <c r="D819" s="203">
        <f t="shared" si="198"/>
        <v>819</v>
      </c>
      <c r="E819" s="207" t="s">
        <v>225</v>
      </c>
      <c r="F819" s="211">
        <f t="shared" ref="F819" si="229">D818</f>
        <v>818</v>
      </c>
      <c r="G819" s="206" t="s">
        <v>44</v>
      </c>
      <c r="H819" s="206"/>
      <c r="I819" s="208"/>
      <c r="J819" s="208"/>
      <c r="K819" s="234">
        <v>2</v>
      </c>
      <c r="L819" s="208" t="s">
        <v>81</v>
      </c>
      <c r="M819" s="235">
        <f t="shared" si="227"/>
        <v>2</v>
      </c>
      <c r="N819" s="208" t="s">
        <v>81</v>
      </c>
      <c r="O819" s="218">
        <v>0.5</v>
      </c>
      <c r="P819" s="208" t="s">
        <v>162</v>
      </c>
      <c r="Q819" s="240">
        <f t="shared" si="228"/>
        <v>1</v>
      </c>
      <c r="R819" s="239"/>
      <c r="S819" s="240">
        <f t="shared" si="215"/>
        <v>1</v>
      </c>
      <c r="T819" s="243" t="s">
        <v>48</v>
      </c>
      <c r="U819" s="196" t="str">
        <f t="shared" si="214"/>
        <v>1 Hrs</v>
      </c>
    </row>
    <row r="820" spans="3:21" s="185" customFormat="1" ht="20.25" customHeight="1">
      <c r="C820" s="198">
        <f>D820</f>
        <v>820</v>
      </c>
      <c r="D820" s="203">
        <f t="shared" si="198"/>
        <v>820</v>
      </c>
      <c r="E820" s="204" t="s">
        <v>226</v>
      </c>
      <c r="F820" s="210">
        <f>D817</f>
        <v>817</v>
      </c>
      <c r="G820" s="206"/>
      <c r="H820" s="206"/>
      <c r="I820" s="208"/>
      <c r="J820" s="208"/>
      <c r="K820" s="234"/>
      <c r="L820" s="208"/>
      <c r="M820" s="217"/>
      <c r="N820" s="208"/>
      <c r="O820" s="218"/>
      <c r="P820" s="208"/>
      <c r="Q820" s="240"/>
      <c r="R820" s="239"/>
      <c r="S820" s="240"/>
      <c r="T820" s="216"/>
      <c r="U820" s="196"/>
    </row>
    <row r="821" spans="3:21" s="185" customFormat="1" ht="20.25" customHeight="1">
      <c r="C821" s="198"/>
      <c r="D821" s="203">
        <f t="shared" si="198"/>
        <v>821</v>
      </c>
      <c r="E821" s="207" t="s">
        <v>227</v>
      </c>
      <c r="F821" s="211">
        <f t="shared" ref="F821" si="230">D820</f>
        <v>820</v>
      </c>
      <c r="G821" s="206" t="s">
        <v>55</v>
      </c>
      <c r="H821" s="206"/>
      <c r="I821" s="224" t="s">
        <v>228</v>
      </c>
      <c r="J821" s="208"/>
      <c r="K821" s="234">
        <v>1</v>
      </c>
      <c r="L821" s="208" t="s">
        <v>206</v>
      </c>
      <c r="M821" s="217">
        <v>1</v>
      </c>
      <c r="N821" s="208" t="s">
        <v>84</v>
      </c>
      <c r="O821" s="218">
        <v>10</v>
      </c>
      <c r="P821" s="208" t="s">
        <v>41</v>
      </c>
      <c r="Q821" s="240">
        <f t="shared" ref="Q821" si="231">M821*O821</f>
        <v>10</v>
      </c>
      <c r="R821" s="239"/>
      <c r="S821" s="240">
        <f t="shared" si="215"/>
        <v>10</v>
      </c>
      <c r="T821" s="216"/>
      <c r="U821" s="196" t="str">
        <f t="shared" si="214"/>
        <v xml:space="preserve">10 </v>
      </c>
    </row>
    <row r="822" spans="3:21" s="185" customFormat="1" ht="20.25" customHeight="1">
      <c r="C822" s="198">
        <f>D822</f>
        <v>822</v>
      </c>
      <c r="D822" s="203">
        <f t="shared" si="198"/>
        <v>822</v>
      </c>
      <c r="E822" s="204" t="s">
        <v>229</v>
      </c>
      <c r="F822" s="210">
        <f>D820</f>
        <v>820</v>
      </c>
      <c r="G822" s="206"/>
      <c r="H822" s="206"/>
      <c r="I822" s="208"/>
      <c r="J822" s="208"/>
      <c r="K822" s="234"/>
      <c r="L822" s="208"/>
      <c r="M822" s="217"/>
      <c r="N822" s="208"/>
      <c r="O822" s="218"/>
      <c r="P822" s="208"/>
      <c r="Q822" s="240"/>
      <c r="R822" s="239"/>
      <c r="S822" s="240"/>
      <c r="T822" s="216"/>
      <c r="U822" s="196"/>
    </row>
    <row r="823" spans="3:21" s="185" customFormat="1" ht="20.25" customHeight="1">
      <c r="C823" s="198"/>
      <c r="D823" s="203">
        <f t="shared" si="198"/>
        <v>823</v>
      </c>
      <c r="E823" s="207" t="s">
        <v>230</v>
      </c>
      <c r="F823" s="211"/>
      <c r="G823" s="206" t="s">
        <v>44</v>
      </c>
      <c r="H823" s="206"/>
      <c r="I823" s="208"/>
      <c r="J823" s="208"/>
      <c r="K823" s="234">
        <v>1</v>
      </c>
      <c r="L823" s="208" t="s">
        <v>206</v>
      </c>
      <c r="M823" s="217">
        <v>1</v>
      </c>
      <c r="N823" s="208" t="s">
        <v>206</v>
      </c>
      <c r="O823" s="218">
        <v>3</v>
      </c>
      <c r="P823" s="208" t="s">
        <v>48</v>
      </c>
      <c r="Q823" s="240">
        <f t="shared" ref="Q823:Q824" si="232">M823*O823</f>
        <v>3</v>
      </c>
      <c r="R823" s="239"/>
      <c r="S823" s="240">
        <f t="shared" si="215"/>
        <v>3</v>
      </c>
      <c r="T823" s="216" t="s">
        <v>48</v>
      </c>
      <c r="U823" s="196" t="str">
        <f t="shared" si="214"/>
        <v>3 Hrs</v>
      </c>
    </row>
    <row r="824" spans="3:21" s="185" customFormat="1" ht="20.25" customHeight="1">
      <c r="C824" s="198"/>
      <c r="D824" s="203">
        <f t="shared" si="198"/>
        <v>824</v>
      </c>
      <c r="E824" s="207" t="s">
        <v>231</v>
      </c>
      <c r="F824" s="211">
        <f t="shared" ref="F824" si="233">D823</f>
        <v>823</v>
      </c>
      <c r="G824" s="206" t="s">
        <v>63</v>
      </c>
      <c r="H824" s="206"/>
      <c r="I824" s="208"/>
      <c r="J824" s="208"/>
      <c r="K824" s="234">
        <v>2</v>
      </c>
      <c r="L824" s="208" t="s">
        <v>232</v>
      </c>
      <c r="M824" s="235">
        <f>1308*2*1</f>
        <v>2616</v>
      </c>
      <c r="N824" s="208" t="s">
        <v>210</v>
      </c>
      <c r="O824" s="246">
        <f>1/100</f>
        <v>0.01</v>
      </c>
      <c r="P824" s="208"/>
      <c r="Q824" s="240">
        <f t="shared" si="232"/>
        <v>26.16</v>
      </c>
      <c r="R824" s="239"/>
      <c r="S824" s="240">
        <f t="shared" si="215"/>
        <v>26.16</v>
      </c>
      <c r="T824" s="216"/>
      <c r="U824" s="196" t="str">
        <f t="shared" si="214"/>
        <v xml:space="preserve">26.16 </v>
      </c>
    </row>
    <row r="825" spans="3:21" s="185" customFormat="1" ht="20.25" customHeight="1">
      <c r="C825" s="198">
        <f>D825</f>
        <v>825</v>
      </c>
      <c r="D825" s="203">
        <f t="shared" si="198"/>
        <v>825</v>
      </c>
      <c r="E825" s="204" t="s">
        <v>233</v>
      </c>
      <c r="F825" s="210">
        <f>D1286</f>
        <v>1276</v>
      </c>
      <c r="G825" s="206"/>
      <c r="H825" s="206"/>
      <c r="I825" s="208"/>
      <c r="J825" s="208"/>
      <c r="K825" s="234"/>
      <c r="L825" s="208"/>
      <c r="M825" s="217"/>
      <c r="N825" s="208"/>
      <c r="O825" s="218"/>
      <c r="P825" s="208"/>
      <c r="Q825" s="240"/>
      <c r="R825" s="239"/>
      <c r="S825" s="240"/>
      <c r="T825" s="216"/>
      <c r="U825" s="196"/>
    </row>
    <row r="826" spans="3:21" s="185" customFormat="1" ht="20.25" customHeight="1">
      <c r="C826" s="198"/>
      <c r="D826" s="203">
        <f t="shared" si="198"/>
        <v>826</v>
      </c>
      <c r="E826" s="207" t="s">
        <v>234</v>
      </c>
      <c r="F826" s="211"/>
      <c r="G826" s="206"/>
      <c r="H826" s="206"/>
      <c r="I826" s="208"/>
      <c r="J826" s="208"/>
      <c r="K826" s="234">
        <v>1</v>
      </c>
      <c r="L826" s="208" t="s">
        <v>81</v>
      </c>
      <c r="M826" s="235">
        <f t="shared" ref="M826:M829" si="234">K826</f>
        <v>1</v>
      </c>
      <c r="N826" s="208" t="s">
        <v>84</v>
      </c>
      <c r="O826" s="218">
        <v>4</v>
      </c>
      <c r="P826" s="208" t="s">
        <v>41</v>
      </c>
      <c r="Q826" s="240">
        <f t="shared" ref="Q826:Q829" si="235">M826*O826</f>
        <v>4</v>
      </c>
      <c r="R826" s="239"/>
      <c r="S826" s="240">
        <f t="shared" si="215"/>
        <v>4</v>
      </c>
      <c r="T826" s="216" t="s">
        <v>42</v>
      </c>
      <c r="U826" s="196" t="str">
        <f t="shared" si="214"/>
        <v>4 Days</v>
      </c>
    </row>
    <row r="827" spans="3:21" s="185" customFormat="1" ht="20.25" customHeight="1">
      <c r="C827" s="198"/>
      <c r="D827" s="203">
        <f t="shared" si="198"/>
        <v>827</v>
      </c>
      <c r="E827" s="207" t="s">
        <v>235</v>
      </c>
      <c r="F827" s="211">
        <f t="shared" ref="F827:F829" si="236">D826</f>
        <v>826</v>
      </c>
      <c r="G827" s="206" t="s">
        <v>44</v>
      </c>
      <c r="H827" s="206"/>
      <c r="I827" s="208"/>
      <c r="J827" s="208"/>
      <c r="K827" s="234">
        <v>22</v>
      </c>
      <c r="L827" s="208" t="s">
        <v>81</v>
      </c>
      <c r="M827" s="217">
        <f t="shared" si="234"/>
        <v>22</v>
      </c>
      <c r="N827" s="208" t="s">
        <v>236</v>
      </c>
      <c r="O827" s="218">
        <v>0.25</v>
      </c>
      <c r="P827" s="208" t="s">
        <v>162</v>
      </c>
      <c r="Q827" s="240">
        <f t="shared" si="235"/>
        <v>5.5</v>
      </c>
      <c r="R827" s="239"/>
      <c r="S827" s="240">
        <f t="shared" si="215"/>
        <v>5.5</v>
      </c>
      <c r="T827" s="216" t="s">
        <v>48</v>
      </c>
      <c r="U827" s="196" t="str">
        <f t="shared" si="214"/>
        <v>5.5 Hrs</v>
      </c>
    </row>
    <row r="828" spans="3:21" s="185" customFormat="1" ht="20.25" customHeight="1">
      <c r="C828" s="198"/>
      <c r="D828" s="203">
        <f t="shared" si="198"/>
        <v>828</v>
      </c>
      <c r="E828" s="207" t="s">
        <v>237</v>
      </c>
      <c r="F828" s="211">
        <f t="shared" si="236"/>
        <v>827</v>
      </c>
      <c r="G828" s="206" t="s">
        <v>238</v>
      </c>
      <c r="H828" s="206"/>
      <c r="I828" s="208"/>
      <c r="J828" s="208"/>
      <c r="K828" s="234">
        <v>22</v>
      </c>
      <c r="L828" s="208" t="s">
        <v>81</v>
      </c>
      <c r="M828" s="217">
        <f t="shared" si="234"/>
        <v>22</v>
      </c>
      <c r="N828" s="208" t="s">
        <v>81</v>
      </c>
      <c r="O828" s="218">
        <v>0.45</v>
      </c>
      <c r="P828" s="208" t="s">
        <v>162</v>
      </c>
      <c r="Q828" s="240">
        <f t="shared" si="235"/>
        <v>9.9</v>
      </c>
      <c r="R828" s="239"/>
      <c r="S828" s="240">
        <f t="shared" si="215"/>
        <v>9.9</v>
      </c>
      <c r="T828" s="216" t="s">
        <v>48</v>
      </c>
      <c r="U828" s="196" t="str">
        <f t="shared" si="214"/>
        <v>9.9 Hrs</v>
      </c>
    </row>
    <row r="829" spans="3:21" s="185" customFormat="1" ht="20.25" customHeight="1">
      <c r="C829" s="198"/>
      <c r="D829" s="203">
        <f t="shared" si="198"/>
        <v>829</v>
      </c>
      <c r="E829" s="207" t="s">
        <v>239</v>
      </c>
      <c r="F829" s="211">
        <f t="shared" si="236"/>
        <v>828</v>
      </c>
      <c r="G829" s="206" t="s">
        <v>240</v>
      </c>
      <c r="H829" s="206"/>
      <c r="I829" s="208"/>
      <c r="J829" s="208"/>
      <c r="K829" s="234">
        <v>22</v>
      </c>
      <c r="L829" s="208" t="s">
        <v>81</v>
      </c>
      <c r="M829" s="217">
        <f t="shared" si="234"/>
        <v>22</v>
      </c>
      <c r="N829" s="208" t="s">
        <v>81</v>
      </c>
      <c r="O829" s="218">
        <v>0.5</v>
      </c>
      <c r="P829" s="208" t="s">
        <v>162</v>
      </c>
      <c r="Q829" s="240">
        <f t="shared" si="235"/>
        <v>11</v>
      </c>
      <c r="R829" s="239"/>
      <c r="S829" s="240">
        <f t="shared" si="215"/>
        <v>11</v>
      </c>
      <c r="T829" s="216" t="s">
        <v>48</v>
      </c>
      <c r="U829" s="196" t="str">
        <f t="shared" si="214"/>
        <v>11 Hrs</v>
      </c>
    </row>
    <row r="830" spans="3:21" s="185" customFormat="1" ht="20.25" customHeight="1">
      <c r="C830" s="198">
        <f>D830</f>
        <v>830</v>
      </c>
      <c r="D830" s="203">
        <f t="shared" si="198"/>
        <v>830</v>
      </c>
      <c r="E830" s="204" t="s">
        <v>241</v>
      </c>
      <c r="F830" s="210">
        <f>D1285</f>
        <v>1275</v>
      </c>
      <c r="G830" s="206"/>
      <c r="H830" s="206"/>
      <c r="I830" s="208"/>
      <c r="J830" s="208"/>
      <c r="K830" s="234"/>
      <c r="L830" s="208"/>
      <c r="M830" s="217"/>
      <c r="N830" s="208"/>
      <c r="O830" s="218"/>
      <c r="P830" s="208"/>
      <c r="Q830" s="240"/>
      <c r="R830" s="239"/>
      <c r="S830" s="240"/>
      <c r="T830" s="216"/>
      <c r="U830" s="196"/>
    </row>
    <row r="831" spans="3:21" s="185" customFormat="1" ht="20.25" customHeight="1">
      <c r="C831" s="198"/>
      <c r="D831" s="203">
        <f t="shared" si="198"/>
        <v>831</v>
      </c>
      <c r="E831" s="207" t="s">
        <v>242</v>
      </c>
      <c r="F831" s="211"/>
      <c r="G831" s="206"/>
      <c r="H831" s="206"/>
      <c r="I831" s="208"/>
      <c r="J831" s="208"/>
      <c r="K831" s="234">
        <v>1</v>
      </c>
      <c r="L831" s="208" t="s">
        <v>81</v>
      </c>
      <c r="M831" s="235">
        <f t="shared" ref="M831:M834" si="237">K831</f>
        <v>1</v>
      </c>
      <c r="N831" s="208" t="s">
        <v>84</v>
      </c>
      <c r="O831" s="218">
        <v>4</v>
      </c>
      <c r="P831" s="208" t="s">
        <v>41</v>
      </c>
      <c r="Q831" s="240">
        <f t="shared" ref="Q831:Q834" si="238">M831*O831</f>
        <v>4</v>
      </c>
      <c r="R831" s="239"/>
      <c r="S831" s="240">
        <f t="shared" si="215"/>
        <v>4</v>
      </c>
      <c r="T831" s="216" t="s">
        <v>48</v>
      </c>
      <c r="U831" s="196" t="str">
        <f t="shared" si="214"/>
        <v>4 Hrs</v>
      </c>
    </row>
    <row r="832" spans="3:21" s="185" customFormat="1" ht="20.25" customHeight="1">
      <c r="C832" s="198"/>
      <c r="D832" s="203">
        <f t="shared" si="198"/>
        <v>832</v>
      </c>
      <c r="E832" s="207" t="s">
        <v>243</v>
      </c>
      <c r="F832" s="211">
        <f t="shared" ref="F832:F834" si="239">D831</f>
        <v>831</v>
      </c>
      <c r="G832" s="206" t="s">
        <v>44</v>
      </c>
      <c r="H832" s="206"/>
      <c r="I832" s="208"/>
      <c r="J832" s="208"/>
      <c r="K832" s="234">
        <v>414</v>
      </c>
      <c r="L832" s="208" t="s">
        <v>81</v>
      </c>
      <c r="M832" s="217">
        <f t="shared" si="237"/>
        <v>414</v>
      </c>
      <c r="N832" s="208" t="s">
        <v>236</v>
      </c>
      <c r="O832" s="218">
        <v>0.1</v>
      </c>
      <c r="P832" s="208" t="s">
        <v>162</v>
      </c>
      <c r="Q832" s="240">
        <f t="shared" si="238"/>
        <v>41.400000000000006</v>
      </c>
      <c r="R832" s="239"/>
      <c r="S832" s="240">
        <f t="shared" si="215"/>
        <v>41.4</v>
      </c>
      <c r="T832" s="216" t="s">
        <v>48</v>
      </c>
      <c r="U832" s="196" t="str">
        <f t="shared" si="214"/>
        <v>41.4 Hrs</v>
      </c>
    </row>
    <row r="833" spans="3:21" s="185" customFormat="1" ht="20.25" customHeight="1">
      <c r="C833" s="198"/>
      <c r="D833" s="203">
        <f t="shared" si="198"/>
        <v>833</v>
      </c>
      <c r="E833" s="207" t="s">
        <v>244</v>
      </c>
      <c r="F833" s="211">
        <f t="shared" si="239"/>
        <v>832</v>
      </c>
      <c r="G833" s="206" t="s">
        <v>238</v>
      </c>
      <c r="H833" s="206"/>
      <c r="I833" s="208"/>
      <c r="J833" s="208"/>
      <c r="K833" s="234">
        <v>414</v>
      </c>
      <c r="L833" s="208" t="s">
        <v>81</v>
      </c>
      <c r="M833" s="217">
        <f t="shared" si="237"/>
        <v>414</v>
      </c>
      <c r="N833" s="208" t="s">
        <v>236</v>
      </c>
      <c r="O833" s="218">
        <v>0.1</v>
      </c>
      <c r="P833" s="208" t="s">
        <v>162</v>
      </c>
      <c r="Q833" s="240">
        <f t="shared" si="238"/>
        <v>41.400000000000006</v>
      </c>
      <c r="R833" s="239"/>
      <c r="S833" s="240">
        <f t="shared" si="215"/>
        <v>41.4</v>
      </c>
      <c r="T833" s="216" t="s">
        <v>48</v>
      </c>
      <c r="U833" s="196" t="str">
        <f t="shared" si="214"/>
        <v>41.4 Hrs</v>
      </c>
    </row>
    <row r="834" spans="3:21" s="185" customFormat="1" ht="20.25" customHeight="1">
      <c r="C834" s="198"/>
      <c r="D834" s="203">
        <f t="shared" si="198"/>
        <v>834</v>
      </c>
      <c r="E834" s="207" t="s">
        <v>245</v>
      </c>
      <c r="F834" s="211">
        <f t="shared" si="239"/>
        <v>833</v>
      </c>
      <c r="G834" s="206" t="s">
        <v>217</v>
      </c>
      <c r="H834" s="206"/>
      <c r="I834" s="208"/>
      <c r="J834" s="208"/>
      <c r="K834" s="234">
        <v>414</v>
      </c>
      <c r="L834" s="208" t="s">
        <v>81</v>
      </c>
      <c r="M834" s="217">
        <f t="shared" si="237"/>
        <v>414</v>
      </c>
      <c r="N834" s="208" t="s">
        <v>81</v>
      </c>
      <c r="O834" s="246">
        <f>1/60</f>
        <v>1.6666666666666666E-2</v>
      </c>
      <c r="P834" s="208" t="s">
        <v>162</v>
      </c>
      <c r="Q834" s="240">
        <f t="shared" si="238"/>
        <v>6.8999999999999995</v>
      </c>
      <c r="R834" s="239"/>
      <c r="S834" s="240">
        <f t="shared" si="215"/>
        <v>6.9</v>
      </c>
      <c r="T834" s="216" t="s">
        <v>48</v>
      </c>
      <c r="U834" s="196" t="str">
        <f t="shared" si="214"/>
        <v>6.9 Hrs</v>
      </c>
    </row>
    <row r="835" spans="3:21" s="185" customFormat="1" ht="20.25" customHeight="1">
      <c r="C835" s="198">
        <f>D835</f>
        <v>835</v>
      </c>
      <c r="D835" s="203">
        <f t="shared" ref="D835:D898" si="240">D834+1</f>
        <v>835</v>
      </c>
      <c r="E835" s="204" t="s">
        <v>246</v>
      </c>
      <c r="F835" s="210">
        <f>D1280</f>
        <v>1270</v>
      </c>
      <c r="G835" s="206"/>
      <c r="H835" s="206"/>
      <c r="I835" s="208"/>
      <c r="J835" s="208"/>
      <c r="K835" s="234"/>
      <c r="L835" s="208"/>
      <c r="M835" s="217"/>
      <c r="N835" s="208"/>
      <c r="O835" s="218"/>
      <c r="P835" s="208"/>
      <c r="Q835" s="240"/>
      <c r="R835" s="239"/>
      <c r="S835" s="240"/>
      <c r="T835" s="216"/>
      <c r="U835" s="196"/>
    </row>
    <row r="836" spans="3:21" s="185" customFormat="1" ht="20.25" customHeight="1">
      <c r="C836" s="198"/>
      <c r="D836" s="203">
        <f t="shared" si="240"/>
        <v>836</v>
      </c>
      <c r="E836" s="207" t="s">
        <v>247</v>
      </c>
      <c r="F836" s="211"/>
      <c r="G836" s="206" t="s">
        <v>44</v>
      </c>
      <c r="H836" s="206"/>
      <c r="I836" s="224">
        <v>8</v>
      </c>
      <c r="J836" s="234" t="s">
        <v>248</v>
      </c>
      <c r="K836" s="234">
        <v>2</v>
      </c>
      <c r="L836" s="208" t="s">
        <v>81</v>
      </c>
      <c r="M836" s="227">
        <f>LEFT(J836,SEARCH(" ",J836,1)-1)*K836*0.001</f>
        <v>19.044</v>
      </c>
      <c r="N836" s="208" t="s">
        <v>249</v>
      </c>
      <c r="O836" s="246">
        <f>VLOOKUP(I836,BM!$A$2:$X$104,2,FALSE)</f>
        <v>0.1</v>
      </c>
      <c r="P836" s="208" t="s">
        <v>162</v>
      </c>
      <c r="Q836" s="240">
        <f t="shared" ref="Q836:Q841" si="241">M836*O836</f>
        <v>1.9044000000000001</v>
      </c>
      <c r="R836" s="239"/>
      <c r="S836" s="240">
        <f t="shared" si="215"/>
        <v>1.9</v>
      </c>
      <c r="T836" s="216" t="s">
        <v>48</v>
      </c>
      <c r="U836" s="196" t="str">
        <f t="shared" si="214"/>
        <v>1.9 Hrs</v>
      </c>
    </row>
    <row r="837" spans="3:21" s="185" customFormat="1" ht="20.25" customHeight="1">
      <c r="C837" s="198"/>
      <c r="D837" s="203">
        <f t="shared" si="240"/>
        <v>837</v>
      </c>
      <c r="E837" s="207" t="s">
        <v>250</v>
      </c>
      <c r="F837" s="211">
        <f t="shared" ref="F837:F841" si="242">D836</f>
        <v>836</v>
      </c>
      <c r="G837" s="206" t="s">
        <v>52</v>
      </c>
      <c r="H837" s="206"/>
      <c r="I837" s="224">
        <v>25</v>
      </c>
      <c r="J837" s="208" t="str">
        <f t="shared" ref="J837:J841" si="243">J836</f>
        <v>9522 mm</v>
      </c>
      <c r="K837" s="234">
        <v>2</v>
      </c>
      <c r="L837" s="208" t="s">
        <v>81</v>
      </c>
      <c r="M837" s="227">
        <f>LEFT(J837,SEARCH(" ",J837,1)-1)*K837*0.001</f>
        <v>19.044</v>
      </c>
      <c r="N837" s="208" t="s">
        <v>249</v>
      </c>
      <c r="O837" s="246">
        <f>VLOOKUP(I837,BM!$A$2:$X$104,3,FALSE)</f>
        <v>0.25</v>
      </c>
      <c r="P837" s="208" t="s">
        <v>162</v>
      </c>
      <c r="Q837" s="240">
        <f t="shared" si="241"/>
        <v>4.7610000000000001</v>
      </c>
      <c r="R837" s="239"/>
      <c r="S837" s="240">
        <f t="shared" si="215"/>
        <v>4.76</v>
      </c>
      <c r="T837" s="216" t="s">
        <v>48</v>
      </c>
      <c r="U837" s="196" t="str">
        <f t="shared" si="214"/>
        <v>4.76 Hrs</v>
      </c>
    </row>
    <row r="838" spans="3:21" s="185" customFormat="1" ht="20.25" customHeight="1">
      <c r="C838" s="198"/>
      <c r="D838" s="203">
        <f t="shared" si="240"/>
        <v>838</v>
      </c>
      <c r="E838" s="207" t="s">
        <v>251</v>
      </c>
      <c r="F838" s="211">
        <f t="shared" si="242"/>
        <v>837</v>
      </c>
      <c r="G838" s="206" t="s">
        <v>201</v>
      </c>
      <c r="H838" s="206"/>
      <c r="I838" s="224">
        <v>25</v>
      </c>
      <c r="J838" s="208" t="str">
        <f t="shared" si="243"/>
        <v>9522 mm</v>
      </c>
      <c r="K838" s="234">
        <v>2</v>
      </c>
      <c r="L838" s="208" t="s">
        <v>81</v>
      </c>
      <c r="M838" s="235">
        <f>K838</f>
        <v>2</v>
      </c>
      <c r="N838" s="208" t="s">
        <v>81</v>
      </c>
      <c r="O838" s="218">
        <v>2</v>
      </c>
      <c r="P838" s="208" t="s">
        <v>162</v>
      </c>
      <c r="Q838" s="240">
        <f t="shared" si="241"/>
        <v>4</v>
      </c>
      <c r="R838" s="239"/>
      <c r="S838" s="240">
        <f t="shared" si="215"/>
        <v>4</v>
      </c>
      <c r="T838" s="216" t="s">
        <v>48</v>
      </c>
      <c r="U838" s="196" t="str">
        <f t="shared" si="214"/>
        <v>4 Hrs</v>
      </c>
    </row>
    <row r="839" spans="3:21" s="185" customFormat="1" ht="20.25" customHeight="1">
      <c r="C839" s="198"/>
      <c r="D839" s="203">
        <f t="shared" si="240"/>
        <v>839</v>
      </c>
      <c r="E839" s="207" t="s">
        <v>252</v>
      </c>
      <c r="F839" s="211">
        <f t="shared" si="242"/>
        <v>838</v>
      </c>
      <c r="G839" s="206" t="s">
        <v>61</v>
      </c>
      <c r="H839" s="206"/>
      <c r="I839" s="224">
        <v>25</v>
      </c>
      <c r="J839" s="208" t="str">
        <f t="shared" si="243"/>
        <v>9522 mm</v>
      </c>
      <c r="K839" s="234">
        <v>2</v>
      </c>
      <c r="L839" s="208" t="s">
        <v>81</v>
      </c>
      <c r="M839" s="217">
        <v>4</v>
      </c>
      <c r="N839" s="208" t="s">
        <v>81</v>
      </c>
      <c r="O839" s="218">
        <v>4</v>
      </c>
      <c r="P839" s="208" t="s">
        <v>162</v>
      </c>
      <c r="Q839" s="240">
        <f t="shared" si="241"/>
        <v>16</v>
      </c>
      <c r="R839" s="239"/>
      <c r="S839" s="240">
        <f t="shared" si="215"/>
        <v>16</v>
      </c>
      <c r="T839" s="216" t="s">
        <v>48</v>
      </c>
      <c r="U839" s="196" t="str">
        <f t="shared" si="214"/>
        <v>16 Hrs</v>
      </c>
    </row>
    <row r="840" spans="3:21" s="185" customFormat="1" ht="20.25" customHeight="1">
      <c r="C840" s="198"/>
      <c r="D840" s="203">
        <f t="shared" si="240"/>
        <v>840</v>
      </c>
      <c r="E840" s="207" t="s">
        <v>253</v>
      </c>
      <c r="F840" s="211">
        <f t="shared" si="242"/>
        <v>839</v>
      </c>
      <c r="G840" s="206" t="s">
        <v>240</v>
      </c>
      <c r="H840" s="206"/>
      <c r="I840" s="224">
        <v>25</v>
      </c>
      <c r="J840" s="208" t="str">
        <f t="shared" si="243"/>
        <v>9522 mm</v>
      </c>
      <c r="K840" s="234">
        <v>2</v>
      </c>
      <c r="L840" s="208" t="s">
        <v>81</v>
      </c>
      <c r="M840" s="217">
        <v>4</v>
      </c>
      <c r="N840" s="208" t="s">
        <v>81</v>
      </c>
      <c r="O840" s="218">
        <v>1</v>
      </c>
      <c r="P840" s="208" t="s">
        <v>162</v>
      </c>
      <c r="Q840" s="240">
        <f t="shared" si="241"/>
        <v>4</v>
      </c>
      <c r="R840" s="239"/>
      <c r="S840" s="240">
        <f t="shared" si="215"/>
        <v>4</v>
      </c>
      <c r="T840" s="216" t="s">
        <v>48</v>
      </c>
      <c r="U840" s="196" t="str">
        <f t="shared" si="214"/>
        <v>4 Hrs</v>
      </c>
    </row>
    <row r="841" spans="3:21" s="185" customFormat="1" ht="20.25" customHeight="1">
      <c r="C841" s="198"/>
      <c r="D841" s="203">
        <f t="shared" si="240"/>
        <v>841</v>
      </c>
      <c r="E841" s="207" t="s">
        <v>254</v>
      </c>
      <c r="F841" s="211">
        <f t="shared" si="242"/>
        <v>840</v>
      </c>
      <c r="G841" s="206" t="s">
        <v>61</v>
      </c>
      <c r="H841" s="206"/>
      <c r="I841" s="224">
        <v>25</v>
      </c>
      <c r="J841" s="208" t="str">
        <f t="shared" si="243"/>
        <v>9522 mm</v>
      </c>
      <c r="K841" s="234">
        <v>2</v>
      </c>
      <c r="L841" s="208" t="s">
        <v>81</v>
      </c>
      <c r="M841" s="217">
        <v>4</v>
      </c>
      <c r="N841" s="208" t="s">
        <v>81</v>
      </c>
      <c r="O841" s="218">
        <v>1</v>
      </c>
      <c r="P841" s="208" t="s">
        <v>162</v>
      </c>
      <c r="Q841" s="240">
        <f t="shared" si="241"/>
        <v>4</v>
      </c>
      <c r="R841" s="239"/>
      <c r="S841" s="240">
        <f t="shared" si="215"/>
        <v>4</v>
      </c>
      <c r="T841" s="216" t="s">
        <v>48</v>
      </c>
      <c r="U841" s="196" t="str">
        <f t="shared" si="214"/>
        <v>4 Hrs</v>
      </c>
    </row>
    <row r="842" spans="3:21" s="185" customFormat="1" ht="20.25" customHeight="1">
      <c r="C842" s="198">
        <f>D842</f>
        <v>842</v>
      </c>
      <c r="D842" s="203">
        <f t="shared" si="240"/>
        <v>842</v>
      </c>
      <c r="E842" s="204" t="s">
        <v>255</v>
      </c>
      <c r="F842" s="210">
        <f>D1281</f>
        <v>1271</v>
      </c>
      <c r="G842" s="206"/>
      <c r="H842" s="206"/>
      <c r="I842" s="208"/>
      <c r="J842" s="208"/>
      <c r="K842" s="234"/>
      <c r="L842" s="208"/>
      <c r="M842" s="217"/>
      <c r="N842" s="208"/>
      <c r="O842" s="218"/>
      <c r="P842" s="208"/>
      <c r="Q842" s="240"/>
      <c r="R842" s="239"/>
      <c r="S842" s="240"/>
      <c r="T842" s="216"/>
      <c r="U842" s="196"/>
    </row>
    <row r="843" spans="3:21" s="185" customFormat="1" ht="20.25" customHeight="1">
      <c r="C843" s="198"/>
      <c r="D843" s="203">
        <f t="shared" si="240"/>
        <v>843</v>
      </c>
      <c r="E843" s="207" t="s">
        <v>256</v>
      </c>
      <c r="F843" s="211"/>
      <c r="G843" s="206" t="s">
        <v>44</v>
      </c>
      <c r="H843" s="206"/>
      <c r="I843" s="224">
        <v>8</v>
      </c>
      <c r="J843" s="234" t="s">
        <v>257</v>
      </c>
      <c r="K843" s="234">
        <v>2</v>
      </c>
      <c r="L843" s="208" t="s">
        <v>81</v>
      </c>
      <c r="M843" s="227">
        <f>LEFT(J843,SEARCH(" ",J843,1)-1)*K843*0.001</f>
        <v>26.731999999999999</v>
      </c>
      <c r="N843" s="208" t="s">
        <v>249</v>
      </c>
      <c r="O843" s="246">
        <f>VLOOKUP(I843,BM!$A$2:$X$104,2,FALSE)</f>
        <v>0.1</v>
      </c>
      <c r="P843" s="208" t="s">
        <v>162</v>
      </c>
      <c r="Q843" s="240">
        <f t="shared" ref="Q843:Q848" si="244">M843*O843</f>
        <v>2.6732</v>
      </c>
      <c r="R843" s="239"/>
      <c r="S843" s="240">
        <f t="shared" si="215"/>
        <v>2.67</v>
      </c>
      <c r="T843" s="216" t="s">
        <v>48</v>
      </c>
      <c r="U843" s="196" t="str">
        <f t="shared" si="214"/>
        <v>2.67 Hrs</v>
      </c>
    </row>
    <row r="844" spans="3:21" s="185" customFormat="1" ht="20.25" customHeight="1">
      <c r="C844" s="198"/>
      <c r="D844" s="203">
        <f t="shared" si="240"/>
        <v>844</v>
      </c>
      <c r="E844" s="207" t="s">
        <v>258</v>
      </c>
      <c r="F844" s="211">
        <f t="shared" ref="F844:F848" si="245">D843</f>
        <v>843</v>
      </c>
      <c r="G844" s="206" t="s">
        <v>52</v>
      </c>
      <c r="H844" s="206"/>
      <c r="I844" s="233">
        <f t="shared" ref="I844:K844" si="246">I843</f>
        <v>8</v>
      </c>
      <c r="J844" s="211" t="str">
        <f t="shared" si="246"/>
        <v>13366 mm</v>
      </c>
      <c r="K844" s="225">
        <f t="shared" si="246"/>
        <v>2</v>
      </c>
      <c r="L844" s="208" t="s">
        <v>81</v>
      </c>
      <c r="M844" s="227">
        <f>LEFT(J844,SEARCH(" ",J844,1)-1)*K844*0.001</f>
        <v>26.731999999999999</v>
      </c>
      <c r="N844" s="208" t="s">
        <v>249</v>
      </c>
      <c r="O844" s="246">
        <f>VLOOKUP(I844,BM!$A$2:$X$104,3,FALSE)</f>
        <v>0.25</v>
      </c>
      <c r="P844" s="208" t="s">
        <v>162</v>
      </c>
      <c r="Q844" s="240">
        <f t="shared" si="244"/>
        <v>6.6829999999999998</v>
      </c>
      <c r="R844" s="239"/>
      <c r="S844" s="240">
        <f t="shared" si="215"/>
        <v>6.68</v>
      </c>
      <c r="T844" s="216" t="s">
        <v>48</v>
      </c>
      <c r="U844" s="196" t="str">
        <f t="shared" si="214"/>
        <v>6.68 Hrs</v>
      </c>
    </row>
    <row r="845" spans="3:21" s="185" customFormat="1" ht="20.25" customHeight="1">
      <c r="C845" s="198"/>
      <c r="D845" s="203">
        <f t="shared" si="240"/>
        <v>845</v>
      </c>
      <c r="E845" s="207" t="s">
        <v>259</v>
      </c>
      <c r="F845" s="211">
        <f t="shared" si="245"/>
        <v>844</v>
      </c>
      <c r="G845" s="206" t="s">
        <v>201</v>
      </c>
      <c r="H845" s="206"/>
      <c r="I845" s="233">
        <f t="shared" ref="I845:K845" si="247">I844</f>
        <v>8</v>
      </c>
      <c r="J845" s="211" t="str">
        <f t="shared" si="247"/>
        <v>13366 mm</v>
      </c>
      <c r="K845" s="225">
        <f t="shared" si="247"/>
        <v>2</v>
      </c>
      <c r="L845" s="208" t="s">
        <v>81</v>
      </c>
      <c r="M845" s="235">
        <f>K845</f>
        <v>2</v>
      </c>
      <c r="N845" s="208" t="s">
        <v>81</v>
      </c>
      <c r="O845" s="218">
        <v>2</v>
      </c>
      <c r="P845" s="208" t="s">
        <v>162</v>
      </c>
      <c r="Q845" s="240">
        <f t="shared" si="244"/>
        <v>4</v>
      </c>
      <c r="R845" s="239"/>
      <c r="S845" s="240">
        <f t="shared" si="215"/>
        <v>4</v>
      </c>
      <c r="T845" s="216" t="s">
        <v>48</v>
      </c>
      <c r="U845" s="196" t="str">
        <f t="shared" si="214"/>
        <v>4 Hrs</v>
      </c>
    </row>
    <row r="846" spans="3:21" s="185" customFormat="1" ht="20.25" customHeight="1">
      <c r="C846" s="198"/>
      <c r="D846" s="203">
        <f t="shared" si="240"/>
        <v>846</v>
      </c>
      <c r="E846" s="207" t="s">
        <v>260</v>
      </c>
      <c r="F846" s="211">
        <f t="shared" si="245"/>
        <v>845</v>
      </c>
      <c r="G846" s="206" t="s">
        <v>61</v>
      </c>
      <c r="H846" s="206"/>
      <c r="I846" s="233">
        <f t="shared" ref="I846:K846" si="248">I845</f>
        <v>8</v>
      </c>
      <c r="J846" s="211" t="str">
        <f t="shared" si="248"/>
        <v>13366 mm</v>
      </c>
      <c r="K846" s="225">
        <f t="shared" si="248"/>
        <v>2</v>
      </c>
      <c r="L846" s="208" t="s">
        <v>81</v>
      </c>
      <c r="M846" s="217">
        <v>4</v>
      </c>
      <c r="N846" s="208" t="s">
        <v>81</v>
      </c>
      <c r="O846" s="218">
        <v>4</v>
      </c>
      <c r="P846" s="208" t="s">
        <v>162</v>
      </c>
      <c r="Q846" s="240">
        <f t="shared" si="244"/>
        <v>16</v>
      </c>
      <c r="R846" s="239"/>
      <c r="S846" s="240">
        <f t="shared" si="215"/>
        <v>16</v>
      </c>
      <c r="T846" s="216" t="s">
        <v>48</v>
      </c>
      <c r="U846" s="196" t="str">
        <f t="shared" si="214"/>
        <v>16 Hrs</v>
      </c>
    </row>
    <row r="847" spans="3:21" s="185" customFormat="1" ht="20.25" customHeight="1">
      <c r="C847" s="198"/>
      <c r="D847" s="203">
        <f t="shared" si="240"/>
        <v>847</v>
      </c>
      <c r="E847" s="207" t="s">
        <v>261</v>
      </c>
      <c r="F847" s="211">
        <f t="shared" si="245"/>
        <v>846</v>
      </c>
      <c r="G847" s="206" t="s">
        <v>240</v>
      </c>
      <c r="H847" s="206"/>
      <c r="I847" s="233">
        <f t="shared" ref="I847:K847" si="249">I846</f>
        <v>8</v>
      </c>
      <c r="J847" s="211" t="str">
        <f t="shared" si="249"/>
        <v>13366 mm</v>
      </c>
      <c r="K847" s="225">
        <f t="shared" si="249"/>
        <v>2</v>
      </c>
      <c r="L847" s="208" t="s">
        <v>81</v>
      </c>
      <c r="M847" s="217">
        <v>4</v>
      </c>
      <c r="N847" s="208" t="s">
        <v>81</v>
      </c>
      <c r="O847" s="218">
        <v>1</v>
      </c>
      <c r="P847" s="208" t="s">
        <v>162</v>
      </c>
      <c r="Q847" s="240">
        <f t="shared" si="244"/>
        <v>4</v>
      </c>
      <c r="R847" s="239"/>
      <c r="S847" s="240">
        <f t="shared" si="215"/>
        <v>4</v>
      </c>
      <c r="T847" s="216" t="s">
        <v>48</v>
      </c>
      <c r="U847" s="196" t="str">
        <f t="shared" si="214"/>
        <v>4 Hrs</v>
      </c>
    </row>
    <row r="848" spans="3:21" s="185" customFormat="1" ht="20.25" customHeight="1">
      <c r="C848" s="198"/>
      <c r="D848" s="203">
        <f t="shared" si="240"/>
        <v>848</v>
      </c>
      <c r="E848" s="207" t="s">
        <v>262</v>
      </c>
      <c r="F848" s="211">
        <f t="shared" si="245"/>
        <v>847</v>
      </c>
      <c r="G848" s="206" t="s">
        <v>61</v>
      </c>
      <c r="H848" s="206"/>
      <c r="I848" s="233">
        <f t="shared" ref="I848:K848" si="250">I847</f>
        <v>8</v>
      </c>
      <c r="J848" s="211" t="str">
        <f t="shared" si="250"/>
        <v>13366 mm</v>
      </c>
      <c r="K848" s="225">
        <f t="shared" si="250"/>
        <v>2</v>
      </c>
      <c r="L848" s="208" t="s">
        <v>81</v>
      </c>
      <c r="M848" s="217">
        <v>4</v>
      </c>
      <c r="N848" s="208" t="s">
        <v>81</v>
      </c>
      <c r="O848" s="218">
        <v>1</v>
      </c>
      <c r="P848" s="208" t="s">
        <v>162</v>
      </c>
      <c r="Q848" s="240">
        <f t="shared" si="244"/>
        <v>4</v>
      </c>
      <c r="R848" s="239"/>
      <c r="S848" s="240">
        <f t="shared" si="215"/>
        <v>4</v>
      </c>
      <c r="T848" s="216" t="s">
        <v>48</v>
      </c>
      <c r="U848" s="196" t="str">
        <f t="shared" si="214"/>
        <v>4 Hrs</v>
      </c>
    </row>
    <row r="849" spans="3:21" s="185" customFormat="1" ht="20.25" customHeight="1">
      <c r="C849" s="198">
        <f>D849</f>
        <v>849</v>
      </c>
      <c r="D849" s="203">
        <f t="shared" si="240"/>
        <v>849</v>
      </c>
      <c r="E849" s="204" t="s">
        <v>263</v>
      </c>
      <c r="F849" s="210">
        <f>D1282</f>
        <v>1272</v>
      </c>
      <c r="G849" s="206"/>
      <c r="H849" s="206"/>
      <c r="I849" s="208"/>
      <c r="J849" s="208"/>
      <c r="K849" s="234"/>
      <c r="L849" s="208"/>
      <c r="M849" s="217"/>
      <c r="N849" s="208"/>
      <c r="O849" s="218"/>
      <c r="P849" s="208"/>
      <c r="Q849" s="240"/>
      <c r="R849" s="239"/>
      <c r="S849" s="240"/>
      <c r="T849" s="216"/>
      <c r="U849" s="196"/>
    </row>
    <row r="850" spans="3:21" s="185" customFormat="1" ht="20.25" customHeight="1">
      <c r="C850" s="198"/>
      <c r="D850" s="203">
        <f t="shared" si="240"/>
        <v>850</v>
      </c>
      <c r="E850" s="207" t="s">
        <v>264</v>
      </c>
      <c r="F850" s="211"/>
      <c r="G850" s="206" t="s">
        <v>37</v>
      </c>
      <c r="H850" s="206"/>
      <c r="I850" s="208"/>
      <c r="J850" s="208"/>
      <c r="K850" s="234">
        <v>1</v>
      </c>
      <c r="L850" s="208" t="s">
        <v>84</v>
      </c>
      <c r="M850" s="217">
        <v>1</v>
      </c>
      <c r="N850" s="208"/>
      <c r="O850" s="218">
        <v>4</v>
      </c>
      <c r="P850" s="208" t="s">
        <v>41</v>
      </c>
      <c r="Q850" s="240">
        <f t="shared" ref="Q850:Q853" si="251">M850*O850</f>
        <v>4</v>
      </c>
      <c r="R850" s="239"/>
      <c r="S850" s="240">
        <f t="shared" si="215"/>
        <v>4</v>
      </c>
      <c r="T850" s="216" t="s">
        <v>42</v>
      </c>
      <c r="U850" s="196" t="str">
        <f t="shared" si="214"/>
        <v>4 Days</v>
      </c>
    </row>
    <row r="851" spans="3:21" s="185" customFormat="1" ht="20.25" customHeight="1">
      <c r="C851" s="198"/>
      <c r="D851" s="203">
        <f t="shared" si="240"/>
        <v>851</v>
      </c>
      <c r="E851" s="207" t="s">
        <v>265</v>
      </c>
      <c r="F851" s="211">
        <f t="shared" ref="F851:F853" si="252">D850</f>
        <v>850</v>
      </c>
      <c r="G851" s="206" t="s">
        <v>44</v>
      </c>
      <c r="H851" s="206"/>
      <c r="I851" s="224" t="s">
        <v>266</v>
      </c>
      <c r="J851" s="225">
        <v>14</v>
      </c>
      <c r="K851" s="234">
        <v>14</v>
      </c>
      <c r="L851" s="208" t="s">
        <v>81</v>
      </c>
      <c r="M851" s="235">
        <f>K851</f>
        <v>14</v>
      </c>
      <c r="N851" s="208" t="s">
        <v>81</v>
      </c>
      <c r="O851" s="218">
        <v>0.25</v>
      </c>
      <c r="P851" s="208" t="s">
        <v>162</v>
      </c>
      <c r="Q851" s="240">
        <f t="shared" si="251"/>
        <v>3.5</v>
      </c>
      <c r="R851" s="239"/>
      <c r="S851" s="240">
        <f t="shared" si="215"/>
        <v>3.5</v>
      </c>
      <c r="T851" s="216" t="s">
        <v>48</v>
      </c>
      <c r="U851" s="196" t="str">
        <f t="shared" si="214"/>
        <v>3.5 Hrs</v>
      </c>
    </row>
    <row r="852" spans="3:21" s="185" customFormat="1" ht="20.25" customHeight="1">
      <c r="C852" s="198"/>
      <c r="D852" s="203">
        <f t="shared" si="240"/>
        <v>852</v>
      </c>
      <c r="E852" s="207" t="s">
        <v>267</v>
      </c>
      <c r="F852" s="211">
        <f t="shared" si="252"/>
        <v>851</v>
      </c>
      <c r="G852" s="206" t="s">
        <v>44</v>
      </c>
      <c r="H852" s="206"/>
      <c r="I852" s="233" t="str">
        <f t="shared" ref="I852:J852" si="253">I851</f>
        <v>25.4 dia</v>
      </c>
      <c r="J852" s="211">
        <f t="shared" si="253"/>
        <v>14</v>
      </c>
      <c r="K852" s="225">
        <f t="shared" ref="K852" si="254">K851</f>
        <v>14</v>
      </c>
      <c r="L852" s="208" t="s">
        <v>81</v>
      </c>
      <c r="M852" s="235">
        <f>K852</f>
        <v>14</v>
      </c>
      <c r="N852" s="208" t="s">
        <v>81</v>
      </c>
      <c r="O852" s="218">
        <v>0.5</v>
      </c>
      <c r="P852" s="208" t="s">
        <v>162</v>
      </c>
      <c r="Q852" s="240">
        <f t="shared" si="251"/>
        <v>7</v>
      </c>
      <c r="R852" s="239"/>
      <c r="S852" s="240">
        <f t="shared" si="215"/>
        <v>7</v>
      </c>
      <c r="T852" s="216" t="s">
        <v>48</v>
      </c>
      <c r="U852" s="196" t="str">
        <f t="shared" si="214"/>
        <v>7 Hrs</v>
      </c>
    </row>
    <row r="853" spans="3:21" s="185" customFormat="1" ht="20.25" customHeight="1">
      <c r="C853" s="198"/>
      <c r="D853" s="203">
        <f t="shared" si="240"/>
        <v>853</v>
      </c>
      <c r="E853" s="207" t="s">
        <v>268</v>
      </c>
      <c r="F853" s="211">
        <f t="shared" si="252"/>
        <v>852</v>
      </c>
      <c r="G853" s="206" t="s">
        <v>201</v>
      </c>
      <c r="H853" s="206"/>
      <c r="I853" s="233" t="str">
        <f t="shared" ref="I853:J853" si="255">I852</f>
        <v>25.4 dia</v>
      </c>
      <c r="J853" s="211">
        <f t="shared" si="255"/>
        <v>14</v>
      </c>
      <c r="K853" s="225">
        <f t="shared" ref="K853" si="256">K852</f>
        <v>14</v>
      </c>
      <c r="L853" s="208" t="s">
        <v>81</v>
      </c>
      <c r="M853" s="235">
        <f>K853</f>
        <v>14</v>
      </c>
      <c r="N853" s="208" t="s">
        <v>81</v>
      </c>
      <c r="O853" s="218">
        <v>1</v>
      </c>
      <c r="P853" s="208" t="s">
        <v>162</v>
      </c>
      <c r="Q853" s="240">
        <f t="shared" si="251"/>
        <v>14</v>
      </c>
      <c r="R853" s="239"/>
      <c r="S853" s="240">
        <f t="shared" si="215"/>
        <v>14</v>
      </c>
      <c r="T853" s="216" t="s">
        <v>48</v>
      </c>
      <c r="U853" s="196" t="str">
        <f t="shared" si="214"/>
        <v>14 Hrs</v>
      </c>
    </row>
    <row r="854" spans="3:21" s="185" customFormat="1" ht="20.25" customHeight="1">
      <c r="C854" s="198">
        <f t="shared" ref="C854:C855" si="257">D854</f>
        <v>854</v>
      </c>
      <c r="D854" s="203">
        <f t="shared" si="240"/>
        <v>854</v>
      </c>
      <c r="E854" s="250" t="s">
        <v>269</v>
      </c>
      <c r="F854" s="211"/>
      <c r="G854" s="206"/>
      <c r="H854" s="206"/>
      <c r="I854" s="208"/>
      <c r="J854" s="208"/>
      <c r="K854" s="234"/>
      <c r="L854" s="208"/>
      <c r="M854" s="217"/>
      <c r="N854" s="208"/>
      <c r="O854" s="218"/>
      <c r="P854" s="208"/>
      <c r="Q854" s="240"/>
      <c r="R854" s="239"/>
      <c r="S854" s="240"/>
      <c r="T854" s="216"/>
      <c r="U854" s="196"/>
    </row>
    <row r="855" spans="3:21" s="185" customFormat="1" ht="20.25" customHeight="1">
      <c r="C855" s="198">
        <f t="shared" si="257"/>
        <v>855</v>
      </c>
      <c r="D855" s="203">
        <f t="shared" si="240"/>
        <v>855</v>
      </c>
      <c r="E855" s="204" t="s">
        <v>270</v>
      </c>
      <c r="F855" s="210">
        <f>D1099</f>
        <v>1099</v>
      </c>
      <c r="G855" s="206"/>
      <c r="H855" s="206"/>
      <c r="I855" s="208"/>
      <c r="J855" s="208"/>
      <c r="K855" s="234"/>
      <c r="L855" s="208"/>
      <c r="M855" s="217"/>
      <c r="N855" s="208"/>
      <c r="O855" s="218"/>
      <c r="P855" s="208"/>
      <c r="Q855" s="240"/>
      <c r="R855" s="239"/>
      <c r="S855" s="240"/>
      <c r="T855" s="216"/>
      <c r="U855" s="196"/>
    </row>
    <row r="856" spans="3:21" s="185" customFormat="1" ht="20.25" customHeight="1">
      <c r="C856" s="198"/>
      <c r="D856" s="203">
        <f t="shared" si="240"/>
        <v>856</v>
      </c>
      <c r="E856" s="207" t="s">
        <v>271</v>
      </c>
      <c r="F856" s="211"/>
      <c r="G856" s="206" t="s">
        <v>37</v>
      </c>
      <c r="H856" s="206"/>
      <c r="I856" s="208"/>
      <c r="J856" s="208"/>
      <c r="K856" s="234">
        <v>1</v>
      </c>
      <c r="L856" s="208" t="s">
        <v>84</v>
      </c>
      <c r="M856" s="217">
        <v>1</v>
      </c>
      <c r="N856" s="208"/>
      <c r="O856" s="218">
        <v>4</v>
      </c>
      <c r="P856" s="208" t="s">
        <v>41</v>
      </c>
      <c r="Q856" s="240">
        <f t="shared" ref="Q856:Q857" si="258">M856*O856</f>
        <v>4</v>
      </c>
      <c r="R856" s="239"/>
      <c r="S856" s="240">
        <f t="shared" si="215"/>
        <v>4</v>
      </c>
      <c r="T856" s="216" t="s">
        <v>42</v>
      </c>
      <c r="U856" s="196" t="str">
        <f t="shared" si="214"/>
        <v>4 Days</v>
      </c>
    </row>
    <row r="857" spans="3:21" s="185" customFormat="1" ht="20.25" customHeight="1">
      <c r="C857" s="198"/>
      <c r="D857" s="203">
        <f t="shared" si="240"/>
        <v>857</v>
      </c>
      <c r="E857" s="207" t="s">
        <v>272</v>
      </c>
      <c r="F857" s="211">
        <f t="shared" ref="F857" si="259">D856</f>
        <v>856</v>
      </c>
      <c r="G857" s="206" t="s">
        <v>201</v>
      </c>
      <c r="H857" s="206"/>
      <c r="I857" s="224">
        <v>18</v>
      </c>
      <c r="J857" s="225" t="s">
        <v>273</v>
      </c>
      <c r="K857" s="234">
        <v>1</v>
      </c>
      <c r="L857" s="208" t="s">
        <v>81</v>
      </c>
      <c r="M857" s="227">
        <f>LEFT(J857,SEARCH(" ",J857,1)-1)*K857*0.001</f>
        <v>43</v>
      </c>
      <c r="N857" s="208" t="s">
        <v>139</v>
      </c>
      <c r="O857" s="246">
        <f>VLOOKUP(I857,BM!$A$2:$X$104,2,FALSE)</f>
        <v>0.1</v>
      </c>
      <c r="P857" s="208" t="s">
        <v>112</v>
      </c>
      <c r="Q857" s="240">
        <f t="shared" si="258"/>
        <v>4.3</v>
      </c>
      <c r="R857" s="239">
        <v>1</v>
      </c>
      <c r="S857" s="240">
        <f t="shared" si="215"/>
        <v>5.3</v>
      </c>
      <c r="T857" s="216" t="s">
        <v>48</v>
      </c>
      <c r="U857" s="196" t="str">
        <f t="shared" si="214"/>
        <v>5.3 Hrs</v>
      </c>
    </row>
    <row r="858" spans="3:21" s="185" customFormat="1" ht="20.25" customHeight="1">
      <c r="C858" s="198">
        <f>D858</f>
        <v>858</v>
      </c>
      <c r="D858" s="203">
        <f t="shared" si="240"/>
        <v>858</v>
      </c>
      <c r="E858" s="204" t="s">
        <v>274</v>
      </c>
      <c r="F858" s="210">
        <f>D855</f>
        <v>855</v>
      </c>
      <c r="G858" s="206"/>
      <c r="H858" s="206"/>
      <c r="I858" s="208"/>
      <c r="J858" s="208"/>
      <c r="K858" s="234"/>
      <c r="L858" s="208"/>
      <c r="M858" s="217"/>
      <c r="N858" s="208"/>
      <c r="O858" s="218"/>
      <c r="P858" s="208"/>
      <c r="Q858" s="240"/>
      <c r="R858" s="239"/>
      <c r="S858" s="240"/>
      <c r="T858" s="216"/>
      <c r="U858" s="196"/>
    </row>
    <row r="859" spans="3:21" s="185" customFormat="1" ht="20.25" customHeight="1">
      <c r="C859" s="198"/>
      <c r="D859" s="203">
        <f t="shared" si="240"/>
        <v>859</v>
      </c>
      <c r="E859" s="207" t="s">
        <v>275</v>
      </c>
      <c r="F859" s="211">
        <f t="shared" ref="F859" si="260">D858</f>
        <v>858</v>
      </c>
      <c r="G859" s="206" t="s">
        <v>276</v>
      </c>
      <c r="H859" s="206"/>
      <c r="I859" s="224">
        <v>18</v>
      </c>
      <c r="J859" s="225" t="s">
        <v>273</v>
      </c>
      <c r="K859" s="234">
        <v>3</v>
      </c>
      <c r="L859" s="208" t="s">
        <v>81</v>
      </c>
      <c r="M859" s="227">
        <f>LEFT(J859,SEARCH(" ",J859,1)-1)*K859*0.001</f>
        <v>129</v>
      </c>
      <c r="N859" s="208" t="s">
        <v>139</v>
      </c>
      <c r="O859" s="246">
        <f>VLOOKUP(I859,BM!$A$2:$X$104,3,FALSE)</f>
        <v>0.25</v>
      </c>
      <c r="P859" s="208" t="s">
        <v>112</v>
      </c>
      <c r="Q859" s="240">
        <f t="shared" ref="Q859" si="261">M859*O859</f>
        <v>32.25</v>
      </c>
      <c r="R859" s="239">
        <v>1</v>
      </c>
      <c r="S859" s="240">
        <f t="shared" si="215"/>
        <v>33.25</v>
      </c>
      <c r="T859" s="216" t="s">
        <v>48</v>
      </c>
      <c r="U859" s="196" t="str">
        <f t="shared" si="214"/>
        <v>33.25 Hrs</v>
      </c>
    </row>
    <row r="860" spans="3:21" s="185" customFormat="1" ht="20.25" customHeight="1">
      <c r="C860" s="198">
        <f>D860</f>
        <v>860</v>
      </c>
      <c r="D860" s="203">
        <f t="shared" si="240"/>
        <v>860</v>
      </c>
      <c r="E860" s="204" t="s">
        <v>277</v>
      </c>
      <c r="F860" s="210">
        <f>D858</f>
        <v>858</v>
      </c>
      <c r="G860" s="206"/>
      <c r="H860" s="206"/>
      <c r="I860" s="208"/>
      <c r="J860" s="208"/>
      <c r="K860" s="234"/>
      <c r="L860" s="208"/>
      <c r="M860" s="217"/>
      <c r="N860" s="208"/>
      <c r="O860" s="218"/>
      <c r="P860" s="208"/>
      <c r="Q860" s="240"/>
      <c r="R860" s="239"/>
      <c r="S860" s="240"/>
      <c r="T860" s="216"/>
      <c r="U860" s="196"/>
    </row>
    <row r="861" spans="3:21" s="185" customFormat="1" ht="20.25" customHeight="1">
      <c r="C861" s="198"/>
      <c r="D861" s="203">
        <f t="shared" si="240"/>
        <v>861</v>
      </c>
      <c r="E861" s="207" t="s">
        <v>278</v>
      </c>
      <c r="F861" s="211">
        <f t="shared" ref="F861:F864" si="262">D860</f>
        <v>860</v>
      </c>
      <c r="G861" s="206" t="s">
        <v>52</v>
      </c>
      <c r="H861" s="206"/>
      <c r="I861" s="224">
        <v>18</v>
      </c>
      <c r="J861" s="234" t="s">
        <v>279</v>
      </c>
      <c r="K861" s="234">
        <v>1</v>
      </c>
      <c r="L861" s="208" t="s">
        <v>81</v>
      </c>
      <c r="M861" s="227">
        <f>LEFT(J861,SEARCH(" ",J861,1)-1)*K861*0.001</f>
        <v>2.5</v>
      </c>
      <c r="N861" s="208" t="s">
        <v>139</v>
      </c>
      <c r="O861" s="246">
        <f>VLOOKUP(I861,BM!$A$2:$X$104,5,FALSE)</f>
        <v>0.5</v>
      </c>
      <c r="P861" s="208" t="s">
        <v>112</v>
      </c>
      <c r="Q861" s="240">
        <f t="shared" ref="Q861:Q864" si="263">M861*O861</f>
        <v>1.25</v>
      </c>
      <c r="R861" s="239">
        <v>1</v>
      </c>
      <c r="S861" s="240">
        <f t="shared" ref="S861:S924" si="264">ROUND(Q861+R861,2)</f>
        <v>2.25</v>
      </c>
      <c r="T861" s="216" t="s">
        <v>48</v>
      </c>
      <c r="U861" s="196" t="str">
        <f t="shared" ref="U861:U923" si="265">CONCATENATE(S861," ",T861)</f>
        <v>2.25 Hrs</v>
      </c>
    </row>
    <row r="862" spans="3:21" s="185" customFormat="1" ht="20.25" customHeight="1">
      <c r="C862" s="198"/>
      <c r="D862" s="203">
        <f t="shared" si="240"/>
        <v>862</v>
      </c>
      <c r="E862" s="207" t="s">
        <v>278</v>
      </c>
      <c r="F862" s="211">
        <f t="shared" si="262"/>
        <v>861</v>
      </c>
      <c r="G862" s="206" t="s">
        <v>52</v>
      </c>
      <c r="H862" s="206"/>
      <c r="I862" s="233">
        <f>I861</f>
        <v>18</v>
      </c>
      <c r="J862" s="225" t="s">
        <v>279</v>
      </c>
      <c r="K862" s="234">
        <v>1</v>
      </c>
      <c r="L862" s="208" t="s">
        <v>81</v>
      </c>
      <c r="M862" s="227">
        <f>LEFT(J862,SEARCH(" ",J862,1)-1)*K862*0.001</f>
        <v>2.5</v>
      </c>
      <c r="N862" s="208" t="s">
        <v>139</v>
      </c>
      <c r="O862" s="246">
        <f>VLOOKUP(I862,BM!$A$2:$X$104,5,FALSE)</f>
        <v>0.5</v>
      </c>
      <c r="P862" s="208" t="s">
        <v>112</v>
      </c>
      <c r="Q862" s="240">
        <f t="shared" si="263"/>
        <v>1.25</v>
      </c>
      <c r="R862" s="239">
        <v>1</v>
      </c>
      <c r="S862" s="240">
        <f t="shared" si="264"/>
        <v>2.25</v>
      </c>
      <c r="T862" s="216" t="s">
        <v>48</v>
      </c>
      <c r="U862" s="196" t="str">
        <f t="shared" si="265"/>
        <v>2.25 Hrs</v>
      </c>
    </row>
    <row r="863" spans="3:21" s="185" customFormat="1" ht="20.25" customHeight="1">
      <c r="C863" s="198"/>
      <c r="D863" s="203">
        <f t="shared" si="240"/>
        <v>863</v>
      </c>
      <c r="E863" s="207" t="s">
        <v>278</v>
      </c>
      <c r="F863" s="211">
        <f t="shared" si="262"/>
        <v>862</v>
      </c>
      <c r="G863" s="206" t="s">
        <v>52</v>
      </c>
      <c r="H863" s="206"/>
      <c r="I863" s="233">
        <f>I862</f>
        <v>18</v>
      </c>
      <c r="J863" s="234" t="s">
        <v>280</v>
      </c>
      <c r="K863" s="234">
        <v>1</v>
      </c>
      <c r="L863" s="208" t="s">
        <v>81</v>
      </c>
      <c r="M863" s="227">
        <f t="shared" ref="M863:M864" si="266">LEFT(J863,SEARCH(" ",J863,1)-1)*K863*0.001</f>
        <v>1.25</v>
      </c>
      <c r="N863" s="208" t="s">
        <v>139</v>
      </c>
      <c r="O863" s="246">
        <f>VLOOKUP(I863,BM!$A$2:$X$104,5,FALSE)</f>
        <v>0.5</v>
      </c>
      <c r="P863" s="208" t="s">
        <v>112</v>
      </c>
      <c r="Q863" s="240">
        <f t="shared" si="263"/>
        <v>0.625</v>
      </c>
      <c r="R863" s="239">
        <v>1</v>
      </c>
      <c r="S863" s="240">
        <f t="shared" si="264"/>
        <v>1.63</v>
      </c>
      <c r="T863" s="216" t="s">
        <v>48</v>
      </c>
      <c r="U863" s="196" t="str">
        <f t="shared" si="265"/>
        <v>1.63 Hrs</v>
      </c>
    </row>
    <row r="864" spans="3:21" s="185" customFormat="1" ht="20.25" customHeight="1">
      <c r="C864" s="198"/>
      <c r="D864" s="203">
        <f t="shared" si="240"/>
        <v>864</v>
      </c>
      <c r="E864" s="207" t="s">
        <v>278</v>
      </c>
      <c r="F864" s="211">
        <f t="shared" si="262"/>
        <v>863</v>
      </c>
      <c r="G864" s="206" t="s">
        <v>52</v>
      </c>
      <c r="H864" s="206"/>
      <c r="I864" s="233">
        <f>I863</f>
        <v>18</v>
      </c>
      <c r="J864" s="234" t="s">
        <v>281</v>
      </c>
      <c r="K864" s="234">
        <v>1</v>
      </c>
      <c r="L864" s="208" t="s">
        <v>81</v>
      </c>
      <c r="M864" s="227">
        <f t="shared" si="266"/>
        <v>0</v>
      </c>
      <c r="N864" s="208" t="s">
        <v>139</v>
      </c>
      <c r="O864" s="246">
        <f>VLOOKUP(I864,BM!$A$2:$X$104,5,FALSE)</f>
        <v>0.5</v>
      </c>
      <c r="P864" s="208" t="s">
        <v>112</v>
      </c>
      <c r="Q864" s="240">
        <f t="shared" si="263"/>
        <v>0</v>
      </c>
      <c r="R864" s="239"/>
      <c r="S864" s="240"/>
      <c r="T864" s="216" t="s">
        <v>48</v>
      </c>
      <c r="U864" s="196"/>
    </row>
    <row r="865" spans="3:21" s="185" customFormat="1" ht="20.25" customHeight="1">
      <c r="C865" s="198">
        <f>D865</f>
        <v>865</v>
      </c>
      <c r="D865" s="203">
        <f t="shared" si="240"/>
        <v>865</v>
      </c>
      <c r="E865" s="204" t="s">
        <v>282</v>
      </c>
      <c r="F865" s="210">
        <f>D860</f>
        <v>860</v>
      </c>
      <c r="G865" s="206"/>
      <c r="H865" s="206"/>
      <c r="I865" s="208"/>
      <c r="J865" s="208"/>
      <c r="K865" s="234"/>
      <c r="L865" s="208"/>
      <c r="M865" s="217"/>
      <c r="N865" s="208"/>
      <c r="O865" s="218"/>
      <c r="P865" s="208"/>
      <c r="Q865" s="240"/>
      <c r="R865" s="239"/>
      <c r="S865" s="240"/>
      <c r="T865" s="216"/>
      <c r="U865" s="196"/>
    </row>
    <row r="866" spans="3:21" s="185" customFormat="1" ht="20.25" customHeight="1">
      <c r="C866" s="198"/>
      <c r="D866" s="203">
        <f t="shared" si="240"/>
        <v>866</v>
      </c>
      <c r="E866" s="207" t="s">
        <v>283</v>
      </c>
      <c r="F866" s="211"/>
      <c r="G866" s="206" t="s">
        <v>121</v>
      </c>
      <c r="H866" s="206"/>
      <c r="I866" s="233">
        <f>I864</f>
        <v>18</v>
      </c>
      <c r="J866" s="211" t="str">
        <f t="shared" ref="J866:K866" si="267">J861</f>
        <v>2500 mm</v>
      </c>
      <c r="K866" s="225">
        <f t="shared" si="267"/>
        <v>1</v>
      </c>
      <c r="L866" s="208" t="s">
        <v>81</v>
      </c>
      <c r="M866" s="227">
        <f t="shared" ref="M866:M869" si="268">LEFT(J866,SEARCH(" ",J866,1)-1)*K866*0.001</f>
        <v>2.5</v>
      </c>
      <c r="N866" s="208" t="s">
        <v>139</v>
      </c>
      <c r="O866" s="246">
        <f>VLOOKUP(I866,BM!$A$2:$X$104,6,FALSE)</f>
        <v>1</v>
      </c>
      <c r="P866" s="208" t="s">
        <v>112</v>
      </c>
      <c r="Q866" s="240">
        <f t="shared" ref="Q866:Q869" si="269">M866*O866</f>
        <v>2.5</v>
      </c>
      <c r="R866" s="239">
        <v>1</v>
      </c>
      <c r="S866" s="240">
        <f t="shared" si="264"/>
        <v>3.5</v>
      </c>
      <c r="T866" s="216" t="s">
        <v>48</v>
      </c>
      <c r="U866" s="196" t="str">
        <f t="shared" si="265"/>
        <v>3.5 Hrs</v>
      </c>
    </row>
    <row r="867" spans="3:21" s="185" customFormat="1" ht="20.25" customHeight="1">
      <c r="C867" s="198"/>
      <c r="D867" s="203">
        <f t="shared" si="240"/>
        <v>867</v>
      </c>
      <c r="E867" s="207" t="s">
        <v>283</v>
      </c>
      <c r="F867" s="211">
        <f t="shared" ref="F867:F869" si="270">D866</f>
        <v>866</v>
      </c>
      <c r="G867" s="206" t="s">
        <v>121</v>
      </c>
      <c r="H867" s="206"/>
      <c r="I867" s="233">
        <f>I864</f>
        <v>18</v>
      </c>
      <c r="J867" s="211" t="str">
        <f t="shared" ref="J867:K867" si="271">J862</f>
        <v>2500 mm</v>
      </c>
      <c r="K867" s="225">
        <f t="shared" si="271"/>
        <v>1</v>
      </c>
      <c r="L867" s="208" t="s">
        <v>81</v>
      </c>
      <c r="M867" s="227">
        <f t="shared" si="268"/>
        <v>2.5</v>
      </c>
      <c r="N867" s="208" t="s">
        <v>139</v>
      </c>
      <c r="O867" s="246">
        <f>VLOOKUP(I867,BM!$A$2:$X$104,6,FALSE)</f>
        <v>1</v>
      </c>
      <c r="P867" s="208" t="s">
        <v>112</v>
      </c>
      <c r="Q867" s="240">
        <f t="shared" si="269"/>
        <v>2.5</v>
      </c>
      <c r="R867" s="239">
        <v>1</v>
      </c>
      <c r="S867" s="240">
        <f t="shared" si="264"/>
        <v>3.5</v>
      </c>
      <c r="T867" s="216" t="s">
        <v>48</v>
      </c>
      <c r="U867" s="196" t="str">
        <f t="shared" si="265"/>
        <v>3.5 Hrs</v>
      </c>
    </row>
    <row r="868" spans="3:21" s="185" customFormat="1" ht="20.25" customHeight="1">
      <c r="C868" s="198"/>
      <c r="D868" s="203">
        <f t="shared" si="240"/>
        <v>868</v>
      </c>
      <c r="E868" s="207" t="s">
        <v>283</v>
      </c>
      <c r="F868" s="211">
        <f t="shared" si="270"/>
        <v>867</v>
      </c>
      <c r="G868" s="206" t="s">
        <v>121</v>
      </c>
      <c r="H868" s="206"/>
      <c r="I868" s="233">
        <f>I864</f>
        <v>18</v>
      </c>
      <c r="J868" s="211" t="str">
        <f t="shared" ref="J868:K868" si="272">J863</f>
        <v>1250 mm</v>
      </c>
      <c r="K868" s="225">
        <f t="shared" si="272"/>
        <v>1</v>
      </c>
      <c r="L868" s="208" t="s">
        <v>81</v>
      </c>
      <c r="M868" s="227">
        <f t="shared" si="268"/>
        <v>1.25</v>
      </c>
      <c r="N868" s="208" t="s">
        <v>139</v>
      </c>
      <c r="O868" s="246">
        <f>VLOOKUP(I868,BM!$A$2:$X$104,6,FALSE)</f>
        <v>1</v>
      </c>
      <c r="P868" s="208" t="s">
        <v>112</v>
      </c>
      <c r="Q868" s="240">
        <f t="shared" si="269"/>
        <v>1.25</v>
      </c>
      <c r="R868" s="239">
        <v>1</v>
      </c>
      <c r="S868" s="240">
        <f t="shared" si="264"/>
        <v>2.25</v>
      </c>
      <c r="T868" s="216" t="s">
        <v>48</v>
      </c>
      <c r="U868" s="196" t="str">
        <f t="shared" si="265"/>
        <v>2.25 Hrs</v>
      </c>
    </row>
    <row r="869" spans="3:21" s="185" customFormat="1" ht="20.25" customHeight="1">
      <c r="C869" s="198"/>
      <c r="D869" s="203">
        <f t="shared" si="240"/>
        <v>869</v>
      </c>
      <c r="E869" s="207" t="s">
        <v>283</v>
      </c>
      <c r="F869" s="211">
        <f t="shared" si="270"/>
        <v>868</v>
      </c>
      <c r="G869" s="206" t="s">
        <v>121</v>
      </c>
      <c r="H869" s="206"/>
      <c r="I869" s="233">
        <f>I864</f>
        <v>18</v>
      </c>
      <c r="J869" s="211" t="str">
        <f t="shared" ref="J869:K869" si="273">J864</f>
        <v>0 mm</v>
      </c>
      <c r="K869" s="225">
        <f t="shared" si="273"/>
        <v>1</v>
      </c>
      <c r="L869" s="208" t="s">
        <v>81</v>
      </c>
      <c r="M869" s="227">
        <f t="shared" si="268"/>
        <v>0</v>
      </c>
      <c r="N869" s="208" t="s">
        <v>139</v>
      </c>
      <c r="O869" s="246">
        <f>VLOOKUP(I869,BM!$A$2:$X$104,6,FALSE)</f>
        <v>1</v>
      </c>
      <c r="P869" s="208" t="s">
        <v>112</v>
      </c>
      <c r="Q869" s="240">
        <f t="shared" si="269"/>
        <v>0</v>
      </c>
      <c r="R869" s="239">
        <v>1</v>
      </c>
      <c r="S869" s="240">
        <f t="shared" si="264"/>
        <v>1</v>
      </c>
      <c r="T869" s="216" t="s">
        <v>48</v>
      </c>
      <c r="U869" s="196" t="str">
        <f t="shared" si="265"/>
        <v>1 Hrs</v>
      </c>
    </row>
    <row r="870" spans="3:21" s="185" customFormat="1" ht="20.25" customHeight="1">
      <c r="C870" s="198">
        <f>D870</f>
        <v>870</v>
      </c>
      <c r="D870" s="203">
        <f t="shared" si="240"/>
        <v>870</v>
      </c>
      <c r="E870" s="204" t="s">
        <v>284</v>
      </c>
      <c r="F870" s="210">
        <f>D865</f>
        <v>865</v>
      </c>
      <c r="G870" s="206"/>
      <c r="H870" s="206"/>
      <c r="I870" s="208"/>
      <c r="J870" s="208"/>
      <c r="K870" s="234"/>
      <c r="L870" s="208"/>
      <c r="M870" s="217"/>
      <c r="N870" s="208"/>
      <c r="O870" s="218"/>
      <c r="P870" s="208"/>
      <c r="Q870" s="240"/>
      <c r="R870" s="239"/>
      <c r="S870" s="240"/>
      <c r="T870" s="216"/>
      <c r="U870" s="196"/>
    </row>
    <row r="871" spans="3:21" s="185" customFormat="1" ht="20.25" customHeight="1">
      <c r="C871" s="198"/>
      <c r="D871" s="203">
        <f t="shared" si="240"/>
        <v>871</v>
      </c>
      <c r="E871" s="207" t="s">
        <v>285</v>
      </c>
      <c r="F871" s="211"/>
      <c r="G871" s="206" t="s">
        <v>286</v>
      </c>
      <c r="H871" s="206"/>
      <c r="I871" s="233">
        <f>I869</f>
        <v>18</v>
      </c>
      <c r="J871" s="211" t="str">
        <f t="shared" ref="J871:K871" si="274">J866</f>
        <v>2500 mm</v>
      </c>
      <c r="K871" s="225">
        <f t="shared" si="274"/>
        <v>1</v>
      </c>
      <c r="L871" s="208" t="s">
        <v>81</v>
      </c>
      <c r="M871" s="227">
        <v>1</v>
      </c>
      <c r="N871" s="208" t="s">
        <v>39</v>
      </c>
      <c r="O871" s="218">
        <v>3</v>
      </c>
      <c r="P871" s="208" t="s">
        <v>112</v>
      </c>
      <c r="Q871" s="240">
        <f t="shared" ref="Q871:Q874" si="275">M871*O871</f>
        <v>3</v>
      </c>
      <c r="R871" s="239">
        <v>1</v>
      </c>
      <c r="S871" s="240">
        <f t="shared" si="264"/>
        <v>4</v>
      </c>
      <c r="T871" s="216" t="s">
        <v>48</v>
      </c>
      <c r="U871" s="196" t="str">
        <f t="shared" si="265"/>
        <v>4 Hrs</v>
      </c>
    </row>
    <row r="872" spans="3:21" s="185" customFormat="1" ht="20.25" customHeight="1">
      <c r="C872" s="198"/>
      <c r="D872" s="203">
        <f t="shared" si="240"/>
        <v>872</v>
      </c>
      <c r="E872" s="207" t="s">
        <v>285</v>
      </c>
      <c r="F872" s="211">
        <f t="shared" ref="F872:F874" si="276">D871</f>
        <v>871</v>
      </c>
      <c r="G872" s="206" t="s">
        <v>286</v>
      </c>
      <c r="H872" s="206"/>
      <c r="I872" s="233">
        <f>I869</f>
        <v>18</v>
      </c>
      <c r="J872" s="211" t="str">
        <f t="shared" ref="J872:K872" si="277">J867</f>
        <v>2500 mm</v>
      </c>
      <c r="K872" s="225">
        <f t="shared" si="277"/>
        <v>1</v>
      </c>
      <c r="L872" s="208" t="s">
        <v>81</v>
      </c>
      <c r="M872" s="227">
        <v>1</v>
      </c>
      <c r="N872" s="208" t="str">
        <f>N871</f>
        <v>No</v>
      </c>
      <c r="O872" s="246">
        <v>3</v>
      </c>
      <c r="P872" s="208" t="s">
        <v>112</v>
      </c>
      <c r="Q872" s="240">
        <f t="shared" si="275"/>
        <v>3</v>
      </c>
      <c r="R872" s="239">
        <v>1</v>
      </c>
      <c r="S872" s="240">
        <f t="shared" si="264"/>
        <v>4</v>
      </c>
      <c r="T872" s="216" t="s">
        <v>48</v>
      </c>
      <c r="U872" s="196" t="str">
        <f t="shared" si="265"/>
        <v>4 Hrs</v>
      </c>
    </row>
    <row r="873" spans="3:21" s="185" customFormat="1" ht="20.25" customHeight="1">
      <c r="C873" s="198"/>
      <c r="D873" s="203">
        <f t="shared" si="240"/>
        <v>873</v>
      </c>
      <c r="E873" s="207" t="s">
        <v>285</v>
      </c>
      <c r="F873" s="211">
        <f t="shared" si="276"/>
        <v>872</v>
      </c>
      <c r="G873" s="206" t="s">
        <v>286</v>
      </c>
      <c r="H873" s="206"/>
      <c r="I873" s="233">
        <f>I869</f>
        <v>18</v>
      </c>
      <c r="J873" s="211" t="str">
        <f t="shared" ref="J873:K873" si="278">J868</f>
        <v>1250 mm</v>
      </c>
      <c r="K873" s="225">
        <f t="shared" si="278"/>
        <v>1</v>
      </c>
      <c r="L873" s="208" t="s">
        <v>81</v>
      </c>
      <c r="M873" s="227">
        <v>1</v>
      </c>
      <c r="N873" s="208" t="str">
        <f>N872</f>
        <v>No</v>
      </c>
      <c r="O873" s="246">
        <v>3</v>
      </c>
      <c r="P873" s="208" t="s">
        <v>112</v>
      </c>
      <c r="Q873" s="240">
        <f t="shared" si="275"/>
        <v>3</v>
      </c>
      <c r="R873" s="239">
        <v>1</v>
      </c>
      <c r="S873" s="240">
        <f t="shared" si="264"/>
        <v>4</v>
      </c>
      <c r="T873" s="216" t="s">
        <v>48</v>
      </c>
      <c r="U873" s="196" t="str">
        <f t="shared" si="265"/>
        <v>4 Hrs</v>
      </c>
    </row>
    <row r="874" spans="3:21" s="185" customFormat="1" ht="20.25" customHeight="1">
      <c r="C874" s="198"/>
      <c r="D874" s="203">
        <f t="shared" si="240"/>
        <v>874</v>
      </c>
      <c r="E874" s="207" t="s">
        <v>285</v>
      </c>
      <c r="F874" s="211">
        <f t="shared" si="276"/>
        <v>873</v>
      </c>
      <c r="G874" s="206" t="s">
        <v>286</v>
      </c>
      <c r="H874" s="206"/>
      <c r="I874" s="233">
        <f>I869</f>
        <v>18</v>
      </c>
      <c r="J874" s="211" t="str">
        <f t="shared" ref="J874" si="279">J869</f>
        <v>0 mm</v>
      </c>
      <c r="K874" s="225">
        <v>0</v>
      </c>
      <c r="L874" s="208" t="s">
        <v>81</v>
      </c>
      <c r="M874" s="227">
        <v>0</v>
      </c>
      <c r="N874" s="208" t="str">
        <f>N873</f>
        <v>No</v>
      </c>
      <c r="O874" s="246">
        <v>0</v>
      </c>
      <c r="P874" s="208" t="s">
        <v>112</v>
      </c>
      <c r="Q874" s="240">
        <f t="shared" si="275"/>
        <v>0</v>
      </c>
      <c r="R874" s="239"/>
      <c r="S874" s="240"/>
      <c r="T874" s="216" t="s">
        <v>48</v>
      </c>
      <c r="U874" s="196"/>
    </row>
    <row r="875" spans="3:21" s="185" customFormat="1" ht="20.25" customHeight="1">
      <c r="C875" s="198">
        <f>D875</f>
        <v>875</v>
      </c>
      <c r="D875" s="203">
        <f t="shared" si="240"/>
        <v>875</v>
      </c>
      <c r="E875" s="204" t="s">
        <v>287</v>
      </c>
      <c r="F875" s="210">
        <f>D870</f>
        <v>870</v>
      </c>
      <c r="G875" s="206"/>
      <c r="H875" s="206"/>
      <c r="I875" s="208"/>
      <c r="J875" s="208"/>
      <c r="K875" s="234"/>
      <c r="L875" s="208"/>
      <c r="M875" s="217"/>
      <c r="N875" s="208"/>
      <c r="O875" s="218"/>
      <c r="P875" s="208"/>
      <c r="Q875" s="240"/>
      <c r="R875" s="239"/>
      <c r="S875" s="240"/>
      <c r="T875" s="216"/>
      <c r="U875" s="196"/>
    </row>
    <row r="876" spans="3:21" s="185" customFormat="1" ht="20.25" customHeight="1">
      <c r="C876" s="198"/>
      <c r="D876" s="203">
        <f t="shared" si="240"/>
        <v>876</v>
      </c>
      <c r="E876" s="207" t="s">
        <v>288</v>
      </c>
      <c r="F876" s="211"/>
      <c r="G876" s="206" t="s">
        <v>289</v>
      </c>
      <c r="H876" s="206"/>
      <c r="I876" s="233">
        <f>I874</f>
        <v>18</v>
      </c>
      <c r="J876" s="211" t="str">
        <f>J871</f>
        <v>2500 mm</v>
      </c>
      <c r="K876" s="234">
        <v>1</v>
      </c>
      <c r="L876" s="208" t="s">
        <v>81</v>
      </c>
      <c r="M876" s="235">
        <v>1</v>
      </c>
      <c r="N876" s="208" t="s">
        <v>81</v>
      </c>
      <c r="O876" s="246">
        <f>VLOOKUP(I876,BM!$A$2:$X$104,8,FALSE)</f>
        <v>0.3</v>
      </c>
      <c r="P876" s="208" t="s">
        <v>112</v>
      </c>
      <c r="Q876" s="240">
        <f t="shared" ref="Q876:Q879" si="280">M876*O876</f>
        <v>0.3</v>
      </c>
      <c r="R876" s="239">
        <v>1</v>
      </c>
      <c r="S876" s="240">
        <f t="shared" si="264"/>
        <v>1.3</v>
      </c>
      <c r="T876" s="216" t="s">
        <v>48</v>
      </c>
      <c r="U876" s="196" t="str">
        <f t="shared" si="265"/>
        <v>1.3 Hrs</v>
      </c>
    </row>
    <row r="877" spans="3:21" s="185" customFormat="1" ht="20.25" customHeight="1">
      <c r="C877" s="198"/>
      <c r="D877" s="203">
        <f t="shared" si="240"/>
        <v>877</v>
      </c>
      <c r="E877" s="207" t="s">
        <v>288</v>
      </c>
      <c r="F877" s="211">
        <f t="shared" ref="F877:F879" si="281">D876</f>
        <v>876</v>
      </c>
      <c r="G877" s="206" t="s">
        <v>289</v>
      </c>
      <c r="H877" s="206"/>
      <c r="I877" s="233">
        <f>I874</f>
        <v>18</v>
      </c>
      <c r="J877" s="211" t="str">
        <f>J872</f>
        <v>2500 mm</v>
      </c>
      <c r="K877" s="234">
        <v>1</v>
      </c>
      <c r="L877" s="208" t="s">
        <v>81</v>
      </c>
      <c r="M877" s="235">
        <v>1</v>
      </c>
      <c r="N877" s="208" t="s">
        <v>81</v>
      </c>
      <c r="O877" s="246">
        <f>VLOOKUP(I877,BM!$A$2:$X$104,8,FALSE)</f>
        <v>0.3</v>
      </c>
      <c r="P877" s="208" t="s">
        <v>112</v>
      </c>
      <c r="Q877" s="240">
        <f t="shared" si="280"/>
        <v>0.3</v>
      </c>
      <c r="R877" s="239">
        <v>1</v>
      </c>
      <c r="S877" s="240">
        <f t="shared" si="264"/>
        <v>1.3</v>
      </c>
      <c r="T877" s="216" t="s">
        <v>48</v>
      </c>
      <c r="U877" s="196" t="str">
        <f t="shared" si="265"/>
        <v>1.3 Hrs</v>
      </c>
    </row>
    <row r="878" spans="3:21" s="185" customFormat="1" ht="20.25" customHeight="1">
      <c r="C878" s="198"/>
      <c r="D878" s="203">
        <f t="shared" si="240"/>
        <v>878</v>
      </c>
      <c r="E878" s="207" t="s">
        <v>288</v>
      </c>
      <c r="F878" s="211">
        <f t="shared" si="281"/>
        <v>877</v>
      </c>
      <c r="G878" s="206" t="s">
        <v>289</v>
      </c>
      <c r="H878" s="206"/>
      <c r="I878" s="233">
        <f>I874</f>
        <v>18</v>
      </c>
      <c r="J878" s="211" t="str">
        <f>J873</f>
        <v>1250 mm</v>
      </c>
      <c r="K878" s="234">
        <v>1</v>
      </c>
      <c r="L878" s="208" t="s">
        <v>81</v>
      </c>
      <c r="M878" s="235">
        <v>1</v>
      </c>
      <c r="N878" s="208" t="s">
        <v>81</v>
      </c>
      <c r="O878" s="246">
        <f>VLOOKUP(I878,BM!$A$2:$X$104,8,FALSE)</f>
        <v>0.3</v>
      </c>
      <c r="P878" s="208" t="s">
        <v>112</v>
      </c>
      <c r="Q878" s="240">
        <f t="shared" si="280"/>
        <v>0.3</v>
      </c>
      <c r="R878" s="239">
        <v>1</v>
      </c>
      <c r="S878" s="240">
        <f t="shared" si="264"/>
        <v>1.3</v>
      </c>
      <c r="T878" s="216" t="s">
        <v>48</v>
      </c>
      <c r="U878" s="196" t="str">
        <f t="shared" si="265"/>
        <v>1.3 Hrs</v>
      </c>
    </row>
    <row r="879" spans="3:21" s="185" customFormat="1" ht="20.25" customHeight="1">
      <c r="C879" s="198"/>
      <c r="D879" s="203">
        <f t="shared" si="240"/>
        <v>879</v>
      </c>
      <c r="E879" s="207" t="s">
        <v>288</v>
      </c>
      <c r="F879" s="211">
        <f t="shared" si="281"/>
        <v>878</v>
      </c>
      <c r="G879" s="206" t="s">
        <v>289</v>
      </c>
      <c r="H879" s="206"/>
      <c r="I879" s="233">
        <f>I874</f>
        <v>18</v>
      </c>
      <c r="J879" s="211" t="str">
        <f>J874</f>
        <v>0 mm</v>
      </c>
      <c r="K879" s="234">
        <v>1</v>
      </c>
      <c r="L879" s="208" t="s">
        <v>81</v>
      </c>
      <c r="M879" s="235">
        <v>0</v>
      </c>
      <c r="N879" s="208" t="s">
        <v>81</v>
      </c>
      <c r="O879" s="246">
        <f>VLOOKUP(I879,BM!$A$2:$X$104,8,FALSE)</f>
        <v>0.3</v>
      </c>
      <c r="P879" s="208" t="s">
        <v>112</v>
      </c>
      <c r="Q879" s="240">
        <f t="shared" si="280"/>
        <v>0</v>
      </c>
      <c r="R879" s="239">
        <v>1</v>
      </c>
      <c r="S879" s="240">
        <f t="shared" si="264"/>
        <v>1</v>
      </c>
      <c r="T879" s="216" t="s">
        <v>48</v>
      </c>
      <c r="U879" s="196" t="str">
        <f t="shared" si="265"/>
        <v>1 Hrs</v>
      </c>
    </row>
    <row r="880" spans="3:21" s="185" customFormat="1" ht="20.25" customHeight="1">
      <c r="C880" s="198">
        <f>D880</f>
        <v>880</v>
      </c>
      <c r="D880" s="203">
        <f t="shared" si="240"/>
        <v>880</v>
      </c>
      <c r="E880" s="204" t="s">
        <v>290</v>
      </c>
      <c r="F880" s="210">
        <f>D875</f>
        <v>875</v>
      </c>
      <c r="G880" s="206"/>
      <c r="H880" s="206"/>
      <c r="I880" s="208"/>
      <c r="J880" s="208"/>
      <c r="K880" s="234"/>
      <c r="L880" s="208"/>
      <c r="M880" s="217"/>
      <c r="N880" s="208"/>
      <c r="O880" s="218"/>
      <c r="P880" s="208"/>
      <c r="Q880" s="240"/>
      <c r="R880" s="239"/>
      <c r="S880" s="240"/>
      <c r="T880" s="216"/>
      <c r="U880" s="196"/>
    </row>
    <row r="881" spans="3:21" s="185" customFormat="1" ht="20.25" customHeight="1">
      <c r="C881" s="198"/>
      <c r="D881" s="203">
        <f t="shared" si="240"/>
        <v>881</v>
      </c>
      <c r="E881" s="207" t="s">
        <v>291</v>
      </c>
      <c r="F881" s="211"/>
      <c r="G881" s="206" t="s">
        <v>44</v>
      </c>
      <c r="H881" s="206"/>
      <c r="I881" s="233">
        <f>I879</f>
        <v>18</v>
      </c>
      <c r="J881" s="211" t="str">
        <f>J876</f>
        <v>2500 mm</v>
      </c>
      <c r="K881" s="234">
        <v>1</v>
      </c>
      <c r="L881" s="208" t="s">
        <v>81</v>
      </c>
      <c r="M881" s="227">
        <f t="shared" ref="M881:M884" si="282">LEFT(J881,SEARCH(" ",J881,1)-1)*K881*0.001</f>
        <v>2.5</v>
      </c>
      <c r="N881" s="208" t="s">
        <v>139</v>
      </c>
      <c r="O881" s="246">
        <f>VLOOKUP(I881,BM!$A$2:$X$104,9,FALSE)</f>
        <v>1</v>
      </c>
      <c r="P881" s="208" t="s">
        <v>112</v>
      </c>
      <c r="Q881" s="240">
        <f t="shared" ref="Q881:Q884" si="283">M881*O881</f>
        <v>2.5</v>
      </c>
      <c r="R881" s="239">
        <v>1</v>
      </c>
      <c r="S881" s="240">
        <f t="shared" si="264"/>
        <v>3.5</v>
      </c>
      <c r="T881" s="216" t="s">
        <v>48</v>
      </c>
      <c r="U881" s="196" t="str">
        <f t="shared" si="265"/>
        <v>3.5 Hrs</v>
      </c>
    </row>
    <row r="882" spans="3:21" s="185" customFormat="1" ht="20.25" customHeight="1">
      <c r="C882" s="198"/>
      <c r="D882" s="203">
        <f t="shared" si="240"/>
        <v>882</v>
      </c>
      <c r="E882" s="207" t="s">
        <v>291</v>
      </c>
      <c r="F882" s="211">
        <f t="shared" ref="F882:F884" si="284">D881</f>
        <v>881</v>
      </c>
      <c r="G882" s="206" t="s">
        <v>44</v>
      </c>
      <c r="H882" s="206"/>
      <c r="I882" s="233">
        <f>I879</f>
        <v>18</v>
      </c>
      <c r="J882" s="211" t="str">
        <f>J877</f>
        <v>2500 mm</v>
      </c>
      <c r="K882" s="234">
        <v>1</v>
      </c>
      <c r="L882" s="208" t="s">
        <v>81</v>
      </c>
      <c r="M882" s="227">
        <f t="shared" si="282"/>
        <v>2.5</v>
      </c>
      <c r="N882" s="208" t="s">
        <v>139</v>
      </c>
      <c r="O882" s="246">
        <f>VLOOKUP(I882,BM!$A$2:$X$104,9,FALSE)</f>
        <v>1</v>
      </c>
      <c r="P882" s="208" t="s">
        <v>112</v>
      </c>
      <c r="Q882" s="240">
        <f t="shared" si="283"/>
        <v>2.5</v>
      </c>
      <c r="R882" s="239">
        <v>1</v>
      </c>
      <c r="S882" s="240">
        <f t="shared" si="264"/>
        <v>3.5</v>
      </c>
      <c r="T882" s="216" t="s">
        <v>48</v>
      </c>
      <c r="U882" s="196" t="str">
        <f t="shared" si="265"/>
        <v>3.5 Hrs</v>
      </c>
    </row>
    <row r="883" spans="3:21" s="185" customFormat="1" ht="20.25" customHeight="1">
      <c r="C883" s="198"/>
      <c r="D883" s="203">
        <f t="shared" si="240"/>
        <v>883</v>
      </c>
      <c r="E883" s="207" t="s">
        <v>291</v>
      </c>
      <c r="F883" s="211">
        <f t="shared" si="284"/>
        <v>882</v>
      </c>
      <c r="G883" s="206" t="s">
        <v>44</v>
      </c>
      <c r="H883" s="206"/>
      <c r="I883" s="233">
        <f>I879</f>
        <v>18</v>
      </c>
      <c r="J883" s="211" t="str">
        <f>J878</f>
        <v>1250 mm</v>
      </c>
      <c r="K883" s="234">
        <v>1</v>
      </c>
      <c r="L883" s="208" t="s">
        <v>81</v>
      </c>
      <c r="M883" s="227">
        <f t="shared" si="282"/>
        <v>1.25</v>
      </c>
      <c r="N883" s="208" t="s">
        <v>139</v>
      </c>
      <c r="O883" s="246">
        <f>VLOOKUP(I883,BM!$A$2:$X$104,9,FALSE)</f>
        <v>1</v>
      </c>
      <c r="P883" s="208" t="s">
        <v>112</v>
      </c>
      <c r="Q883" s="240">
        <f t="shared" si="283"/>
        <v>1.25</v>
      </c>
      <c r="R883" s="239">
        <v>1</v>
      </c>
      <c r="S883" s="240">
        <f t="shared" si="264"/>
        <v>2.25</v>
      </c>
      <c r="T883" s="216" t="s">
        <v>48</v>
      </c>
      <c r="U883" s="196" t="str">
        <f t="shared" si="265"/>
        <v>2.25 Hrs</v>
      </c>
    </row>
    <row r="884" spans="3:21" s="185" customFormat="1" ht="20.25" customHeight="1">
      <c r="C884" s="198"/>
      <c r="D884" s="203">
        <f t="shared" si="240"/>
        <v>884</v>
      </c>
      <c r="E884" s="207" t="s">
        <v>291</v>
      </c>
      <c r="F884" s="211">
        <f t="shared" si="284"/>
        <v>883</v>
      </c>
      <c r="G884" s="206" t="s">
        <v>44</v>
      </c>
      <c r="H884" s="206"/>
      <c r="I884" s="233">
        <f>I879</f>
        <v>18</v>
      </c>
      <c r="J884" s="211" t="str">
        <f>J879</f>
        <v>0 mm</v>
      </c>
      <c r="K884" s="234">
        <v>1</v>
      </c>
      <c r="L884" s="208" t="s">
        <v>81</v>
      </c>
      <c r="M884" s="227">
        <f t="shared" si="282"/>
        <v>0</v>
      </c>
      <c r="N884" s="208" t="s">
        <v>139</v>
      </c>
      <c r="O884" s="246">
        <f>VLOOKUP(I884,BM!$A$2:$X$104,9,FALSE)</f>
        <v>1</v>
      </c>
      <c r="P884" s="208" t="s">
        <v>112</v>
      </c>
      <c r="Q884" s="240">
        <f t="shared" si="283"/>
        <v>0</v>
      </c>
      <c r="R884" s="239">
        <v>1</v>
      </c>
      <c r="S884" s="240">
        <f t="shared" si="264"/>
        <v>1</v>
      </c>
      <c r="T884" s="216" t="s">
        <v>48</v>
      </c>
      <c r="U884" s="196" t="str">
        <f t="shared" si="265"/>
        <v>1 Hrs</v>
      </c>
    </row>
    <row r="885" spans="3:21" s="185" customFormat="1" ht="20.25" customHeight="1">
      <c r="C885" s="198">
        <f>D885</f>
        <v>885</v>
      </c>
      <c r="D885" s="203">
        <f t="shared" si="240"/>
        <v>885</v>
      </c>
      <c r="E885" s="204" t="s">
        <v>292</v>
      </c>
      <c r="F885" s="210">
        <f>D880</f>
        <v>880</v>
      </c>
      <c r="G885" s="206"/>
      <c r="H885" s="206"/>
      <c r="I885" s="208"/>
      <c r="J885" s="208"/>
      <c r="K885" s="234"/>
      <c r="L885" s="208"/>
      <c r="M885" s="217"/>
      <c r="N885" s="208"/>
      <c r="O885" s="218"/>
      <c r="P885" s="208"/>
      <c r="Q885" s="240"/>
      <c r="R885" s="239"/>
      <c r="S885" s="240"/>
      <c r="T885" s="216"/>
      <c r="U885" s="196"/>
    </row>
    <row r="886" spans="3:21" s="185" customFormat="1" ht="20.25" customHeight="1">
      <c r="C886" s="198"/>
      <c r="D886" s="203">
        <f t="shared" si="240"/>
        <v>886</v>
      </c>
      <c r="E886" s="207" t="s">
        <v>293</v>
      </c>
      <c r="F886" s="211"/>
      <c r="G886" s="206" t="s">
        <v>286</v>
      </c>
      <c r="H886" s="206"/>
      <c r="I886" s="233">
        <f>I884</f>
        <v>18</v>
      </c>
      <c r="J886" s="211" t="str">
        <f>J881</f>
        <v>2500 mm</v>
      </c>
      <c r="K886" s="234">
        <v>1</v>
      </c>
      <c r="L886" s="208" t="s">
        <v>81</v>
      </c>
      <c r="M886" s="235">
        <f>K886</f>
        <v>1</v>
      </c>
      <c r="N886" s="208" t="s">
        <v>39</v>
      </c>
      <c r="O886" s="218">
        <v>3</v>
      </c>
      <c r="P886" s="208" t="s">
        <v>112</v>
      </c>
      <c r="Q886" s="240">
        <f t="shared" ref="Q886:Q899" si="285">M886*O886</f>
        <v>3</v>
      </c>
      <c r="R886" s="239">
        <v>1</v>
      </c>
      <c r="S886" s="240">
        <f t="shared" si="264"/>
        <v>4</v>
      </c>
      <c r="T886" s="216" t="s">
        <v>48</v>
      </c>
      <c r="U886" s="196" t="str">
        <f t="shared" si="265"/>
        <v>4 Hrs</v>
      </c>
    </row>
    <row r="887" spans="3:21" s="185" customFormat="1" ht="20.25" customHeight="1">
      <c r="C887" s="198"/>
      <c r="D887" s="203">
        <f t="shared" si="240"/>
        <v>887</v>
      </c>
      <c r="E887" s="207" t="s">
        <v>294</v>
      </c>
      <c r="F887" s="211">
        <f t="shared" ref="F887:F889" si="286">D886</f>
        <v>886</v>
      </c>
      <c r="G887" s="206" t="s">
        <v>286</v>
      </c>
      <c r="H887" s="206"/>
      <c r="I887" s="233">
        <f>I884</f>
        <v>18</v>
      </c>
      <c r="J887" s="211" t="str">
        <f>J882</f>
        <v>2500 mm</v>
      </c>
      <c r="K887" s="234">
        <v>1</v>
      </c>
      <c r="L887" s="208" t="s">
        <v>81</v>
      </c>
      <c r="M887" s="235">
        <f>K887</f>
        <v>1</v>
      </c>
      <c r="N887" s="208" t="s">
        <v>39</v>
      </c>
      <c r="O887" s="246">
        <f>O886</f>
        <v>3</v>
      </c>
      <c r="P887" s="208" t="s">
        <v>112</v>
      </c>
      <c r="Q887" s="240">
        <f t="shared" si="285"/>
        <v>3</v>
      </c>
      <c r="R887" s="239">
        <v>1</v>
      </c>
      <c r="S887" s="240">
        <f t="shared" si="264"/>
        <v>4</v>
      </c>
      <c r="T887" s="216" t="s">
        <v>48</v>
      </c>
      <c r="U887" s="196" t="str">
        <f t="shared" si="265"/>
        <v>4 Hrs</v>
      </c>
    </row>
    <row r="888" spans="3:21" s="185" customFormat="1" ht="20.25" customHeight="1">
      <c r="C888" s="198"/>
      <c r="D888" s="203">
        <f t="shared" si="240"/>
        <v>888</v>
      </c>
      <c r="E888" s="207" t="s">
        <v>294</v>
      </c>
      <c r="F888" s="211">
        <f t="shared" si="286"/>
        <v>887</v>
      </c>
      <c r="G888" s="206" t="s">
        <v>286</v>
      </c>
      <c r="H888" s="206"/>
      <c r="I888" s="233">
        <f>I884</f>
        <v>18</v>
      </c>
      <c r="J888" s="211" t="str">
        <f>J883</f>
        <v>1250 mm</v>
      </c>
      <c r="K888" s="234">
        <v>1</v>
      </c>
      <c r="L888" s="208" t="s">
        <v>81</v>
      </c>
      <c r="M888" s="235">
        <f>K888</f>
        <v>1</v>
      </c>
      <c r="N888" s="208" t="s">
        <v>39</v>
      </c>
      <c r="O888" s="246">
        <f>O887</f>
        <v>3</v>
      </c>
      <c r="P888" s="208" t="s">
        <v>112</v>
      </c>
      <c r="Q888" s="240">
        <f t="shared" si="285"/>
        <v>3</v>
      </c>
      <c r="R888" s="239">
        <v>1</v>
      </c>
      <c r="S888" s="240">
        <f t="shared" si="264"/>
        <v>4</v>
      </c>
      <c r="T888" s="216" t="s">
        <v>48</v>
      </c>
      <c r="U888" s="196" t="str">
        <f t="shared" si="265"/>
        <v>4 Hrs</v>
      </c>
    </row>
    <row r="889" spans="3:21" s="185" customFormat="1" ht="20.25" customHeight="1">
      <c r="C889" s="198"/>
      <c r="D889" s="203">
        <f t="shared" si="240"/>
        <v>889</v>
      </c>
      <c r="E889" s="207" t="s">
        <v>294</v>
      </c>
      <c r="F889" s="211">
        <f t="shared" si="286"/>
        <v>888</v>
      </c>
      <c r="G889" s="206" t="s">
        <v>286</v>
      </c>
      <c r="H889" s="206"/>
      <c r="I889" s="233">
        <f>I884</f>
        <v>18</v>
      </c>
      <c r="J889" s="211" t="str">
        <f>J884</f>
        <v>0 mm</v>
      </c>
      <c r="K889" s="234">
        <v>1</v>
      </c>
      <c r="L889" s="208" t="s">
        <v>81</v>
      </c>
      <c r="M889" s="235">
        <f>K889</f>
        <v>1</v>
      </c>
      <c r="N889" s="208" t="s">
        <v>39</v>
      </c>
      <c r="O889" s="246">
        <f>O888</f>
        <v>3</v>
      </c>
      <c r="P889" s="208" t="s">
        <v>112</v>
      </c>
      <c r="Q889" s="240">
        <f t="shared" si="285"/>
        <v>3</v>
      </c>
      <c r="R889" s="239">
        <v>1</v>
      </c>
      <c r="S889" s="240">
        <f t="shared" si="264"/>
        <v>4</v>
      </c>
      <c r="T889" s="216" t="s">
        <v>48</v>
      </c>
      <c r="U889" s="196" t="str">
        <f t="shared" si="265"/>
        <v>4 Hrs</v>
      </c>
    </row>
    <row r="890" spans="3:21" s="185" customFormat="1" ht="20.25" customHeight="1">
      <c r="C890" s="198">
        <f>D890</f>
        <v>890</v>
      </c>
      <c r="D890" s="203">
        <f t="shared" si="240"/>
        <v>890</v>
      </c>
      <c r="E890" s="204" t="s">
        <v>295</v>
      </c>
      <c r="F890" s="210">
        <f>D885</f>
        <v>885</v>
      </c>
      <c r="G890" s="206"/>
      <c r="H890" s="206"/>
      <c r="I890" s="208"/>
      <c r="J890" s="208"/>
      <c r="K890" s="234"/>
      <c r="L890" s="208"/>
      <c r="M890" s="217"/>
      <c r="N890" s="208"/>
      <c r="O890" s="218"/>
      <c r="P890" s="208"/>
      <c r="Q890" s="240">
        <f t="shared" si="285"/>
        <v>0</v>
      </c>
      <c r="R890" s="239"/>
      <c r="S890" s="240"/>
      <c r="T890" s="216"/>
      <c r="U890" s="196"/>
    </row>
    <row r="891" spans="3:21" s="185" customFormat="1" ht="20.25" customHeight="1">
      <c r="C891" s="198"/>
      <c r="D891" s="203">
        <f t="shared" si="240"/>
        <v>891</v>
      </c>
      <c r="E891" s="207" t="s">
        <v>296</v>
      </c>
      <c r="F891" s="211"/>
      <c r="G891" s="206" t="s">
        <v>201</v>
      </c>
      <c r="H891" s="206"/>
      <c r="I891" s="233">
        <f>I889</f>
        <v>18</v>
      </c>
      <c r="J891" s="211" t="str">
        <f>J886</f>
        <v>2500 mm</v>
      </c>
      <c r="K891" s="234">
        <v>1</v>
      </c>
      <c r="L891" s="208" t="s">
        <v>81</v>
      </c>
      <c r="M891" s="227">
        <f t="shared" ref="M891:M894" si="287">LEFT(J891,SEARCH(" ",J891,1)-1)*K891*0.001</f>
        <v>2.5</v>
      </c>
      <c r="N891" s="208" t="s">
        <v>139</v>
      </c>
      <c r="O891" s="246">
        <f>VLOOKUP(I891,BM!$A$2:$X$104,9,FALSE)</f>
        <v>1</v>
      </c>
      <c r="P891" s="208" t="s">
        <v>112</v>
      </c>
      <c r="Q891" s="240">
        <f t="shared" si="285"/>
        <v>2.5</v>
      </c>
      <c r="R891" s="239">
        <v>1</v>
      </c>
      <c r="S891" s="240">
        <f t="shared" si="264"/>
        <v>3.5</v>
      </c>
      <c r="T891" s="216" t="s">
        <v>48</v>
      </c>
      <c r="U891" s="196" t="str">
        <f t="shared" si="265"/>
        <v>3.5 Hrs</v>
      </c>
    </row>
    <row r="892" spans="3:21" s="185" customFormat="1" ht="20.25" customHeight="1">
      <c r="C892" s="198"/>
      <c r="D892" s="203">
        <f t="shared" si="240"/>
        <v>892</v>
      </c>
      <c r="E892" s="207" t="s">
        <v>296</v>
      </c>
      <c r="F892" s="211">
        <f t="shared" ref="F892:F894" si="288">D891</f>
        <v>891</v>
      </c>
      <c r="G892" s="206" t="s">
        <v>201</v>
      </c>
      <c r="H892" s="206"/>
      <c r="I892" s="233">
        <f>I889</f>
        <v>18</v>
      </c>
      <c r="J892" s="211" t="str">
        <f>J887</f>
        <v>2500 mm</v>
      </c>
      <c r="K892" s="234">
        <v>1</v>
      </c>
      <c r="L892" s="208" t="s">
        <v>81</v>
      </c>
      <c r="M892" s="227">
        <f t="shared" si="287"/>
        <v>2.5</v>
      </c>
      <c r="N892" s="208" t="s">
        <v>139</v>
      </c>
      <c r="O892" s="246">
        <f>VLOOKUP(I892,BM!$A$2:$X$104,9,FALSE)</f>
        <v>1</v>
      </c>
      <c r="P892" s="208" t="s">
        <v>112</v>
      </c>
      <c r="Q892" s="240">
        <f t="shared" si="285"/>
        <v>2.5</v>
      </c>
      <c r="R892" s="239">
        <v>1</v>
      </c>
      <c r="S892" s="240">
        <f t="shared" si="264"/>
        <v>3.5</v>
      </c>
      <c r="T892" s="216" t="s">
        <v>48</v>
      </c>
      <c r="U892" s="196" t="str">
        <f t="shared" si="265"/>
        <v>3.5 Hrs</v>
      </c>
    </row>
    <row r="893" spans="3:21" s="185" customFormat="1" ht="20.25" customHeight="1">
      <c r="C893" s="198"/>
      <c r="D893" s="203">
        <f t="shared" si="240"/>
        <v>893</v>
      </c>
      <c r="E893" s="207" t="s">
        <v>296</v>
      </c>
      <c r="F893" s="211">
        <f t="shared" si="288"/>
        <v>892</v>
      </c>
      <c r="G893" s="206" t="s">
        <v>201</v>
      </c>
      <c r="H893" s="206"/>
      <c r="I893" s="233">
        <f>I889</f>
        <v>18</v>
      </c>
      <c r="J893" s="211" t="str">
        <f>J888</f>
        <v>1250 mm</v>
      </c>
      <c r="K893" s="234">
        <v>1</v>
      </c>
      <c r="L893" s="208" t="s">
        <v>81</v>
      </c>
      <c r="M893" s="227">
        <f t="shared" si="287"/>
        <v>1.25</v>
      </c>
      <c r="N893" s="208" t="s">
        <v>139</v>
      </c>
      <c r="O893" s="246">
        <f>VLOOKUP(I893,BM!$A$2:$X$104,9,FALSE)</f>
        <v>1</v>
      </c>
      <c r="P893" s="208" t="s">
        <v>112</v>
      </c>
      <c r="Q893" s="240">
        <f t="shared" si="285"/>
        <v>1.25</v>
      </c>
      <c r="R893" s="239">
        <v>1</v>
      </c>
      <c r="S893" s="240">
        <f t="shared" si="264"/>
        <v>2.25</v>
      </c>
      <c r="T893" s="216" t="s">
        <v>48</v>
      </c>
      <c r="U893" s="196" t="str">
        <f t="shared" si="265"/>
        <v>2.25 Hrs</v>
      </c>
    </row>
    <row r="894" spans="3:21" s="185" customFormat="1" ht="20.25" customHeight="1">
      <c r="C894" s="198"/>
      <c r="D894" s="203">
        <f t="shared" si="240"/>
        <v>894</v>
      </c>
      <c r="E894" s="207" t="s">
        <v>296</v>
      </c>
      <c r="F894" s="211">
        <f t="shared" si="288"/>
        <v>893</v>
      </c>
      <c r="G894" s="206" t="s">
        <v>201</v>
      </c>
      <c r="H894" s="206"/>
      <c r="I894" s="233">
        <f>I889</f>
        <v>18</v>
      </c>
      <c r="J894" s="211" t="str">
        <f>J889</f>
        <v>0 mm</v>
      </c>
      <c r="K894" s="234">
        <v>1</v>
      </c>
      <c r="L894" s="208" t="s">
        <v>81</v>
      </c>
      <c r="M894" s="227">
        <f t="shared" si="287"/>
        <v>0</v>
      </c>
      <c r="N894" s="208" t="s">
        <v>139</v>
      </c>
      <c r="O894" s="246">
        <f>VLOOKUP(I894,BM!$A$2:$X$104,9,FALSE)</f>
        <v>1</v>
      </c>
      <c r="P894" s="208" t="s">
        <v>112</v>
      </c>
      <c r="Q894" s="240">
        <f t="shared" si="285"/>
        <v>0</v>
      </c>
      <c r="R894" s="239">
        <v>1</v>
      </c>
      <c r="S894" s="240">
        <f t="shared" si="264"/>
        <v>1</v>
      </c>
      <c r="T894" s="216" t="s">
        <v>48</v>
      </c>
      <c r="U894" s="196" t="str">
        <f t="shared" si="265"/>
        <v>1 Hrs</v>
      </c>
    </row>
    <row r="895" spans="3:21" s="185" customFormat="1" ht="20.25" customHeight="1">
      <c r="C895" s="198">
        <f>D895</f>
        <v>895</v>
      </c>
      <c r="D895" s="203">
        <f t="shared" si="240"/>
        <v>895</v>
      </c>
      <c r="E895" s="204" t="s">
        <v>297</v>
      </c>
      <c r="F895" s="210">
        <f>D890</f>
        <v>890</v>
      </c>
      <c r="G895" s="206"/>
      <c r="H895" s="206"/>
      <c r="I895" s="208"/>
      <c r="J895" s="208"/>
      <c r="K895" s="234"/>
      <c r="L895" s="208"/>
      <c r="M895" s="217"/>
      <c r="N895" s="208"/>
      <c r="O895" s="218"/>
      <c r="P895" s="208"/>
      <c r="Q895" s="240">
        <f t="shared" si="285"/>
        <v>0</v>
      </c>
      <c r="R895" s="239"/>
      <c r="S895" s="240"/>
      <c r="T895" s="216"/>
      <c r="U895" s="196"/>
    </row>
    <row r="896" spans="3:21" s="185" customFormat="1" ht="20.25" customHeight="1">
      <c r="C896" s="198"/>
      <c r="D896" s="203">
        <f t="shared" si="240"/>
        <v>896</v>
      </c>
      <c r="E896" s="207" t="s">
        <v>298</v>
      </c>
      <c r="F896" s="211"/>
      <c r="G896" s="206"/>
      <c r="H896" s="206"/>
      <c r="I896" s="233">
        <f>I894</f>
        <v>18</v>
      </c>
      <c r="J896" s="211" t="str">
        <f>J891</f>
        <v>2500 mm</v>
      </c>
      <c r="K896" s="234">
        <v>1</v>
      </c>
      <c r="L896" s="208" t="s">
        <v>81</v>
      </c>
      <c r="M896" s="227">
        <f t="shared" ref="M896:M899" si="289">LEFT(J896,SEARCH(" ",J896,1)-1)*K896*0.001</f>
        <v>2.5</v>
      </c>
      <c r="N896" s="208" t="s">
        <v>139</v>
      </c>
      <c r="O896" s="246">
        <f>VLOOKUP(I896,BM!$A$2:$X$104,10,FALSE)</f>
        <v>1</v>
      </c>
      <c r="P896" s="208" t="s">
        <v>112</v>
      </c>
      <c r="Q896" s="240">
        <f t="shared" si="285"/>
        <v>2.5</v>
      </c>
      <c r="R896" s="239">
        <v>1</v>
      </c>
      <c r="S896" s="240">
        <f t="shared" si="264"/>
        <v>3.5</v>
      </c>
      <c r="T896" s="216" t="s">
        <v>48</v>
      </c>
      <c r="U896" s="196" t="str">
        <f t="shared" si="265"/>
        <v>3.5 Hrs</v>
      </c>
    </row>
    <row r="897" spans="3:21" s="185" customFormat="1" ht="20.25" customHeight="1">
      <c r="C897" s="198"/>
      <c r="D897" s="203">
        <f t="shared" si="240"/>
        <v>897</v>
      </c>
      <c r="E897" s="207" t="s">
        <v>298</v>
      </c>
      <c r="F897" s="211">
        <f t="shared" ref="F897:F899" si="290">D896</f>
        <v>896</v>
      </c>
      <c r="G897" s="206" t="s">
        <v>299</v>
      </c>
      <c r="H897" s="206"/>
      <c r="I897" s="233">
        <f>I894</f>
        <v>18</v>
      </c>
      <c r="J897" s="211" t="str">
        <f>J892</f>
        <v>2500 mm</v>
      </c>
      <c r="K897" s="234">
        <v>1</v>
      </c>
      <c r="L897" s="208" t="s">
        <v>81</v>
      </c>
      <c r="M897" s="227">
        <f t="shared" si="289"/>
        <v>2.5</v>
      </c>
      <c r="N897" s="208" t="s">
        <v>139</v>
      </c>
      <c r="O897" s="246">
        <f>VLOOKUP(I897,BM!$A$2:$X$104,10,FALSE)</f>
        <v>1</v>
      </c>
      <c r="P897" s="208" t="s">
        <v>112</v>
      </c>
      <c r="Q897" s="240">
        <f t="shared" si="285"/>
        <v>2.5</v>
      </c>
      <c r="R897" s="239">
        <v>1</v>
      </c>
      <c r="S897" s="240">
        <f t="shared" si="264"/>
        <v>3.5</v>
      </c>
      <c r="T897" s="216" t="s">
        <v>48</v>
      </c>
      <c r="U897" s="196" t="str">
        <f t="shared" si="265"/>
        <v>3.5 Hrs</v>
      </c>
    </row>
    <row r="898" spans="3:21" s="185" customFormat="1" ht="20.25" customHeight="1">
      <c r="C898" s="198"/>
      <c r="D898" s="203">
        <f t="shared" si="240"/>
        <v>898</v>
      </c>
      <c r="E898" s="207" t="s">
        <v>298</v>
      </c>
      <c r="F898" s="211">
        <f t="shared" si="290"/>
        <v>897</v>
      </c>
      <c r="G898" s="206" t="s">
        <v>299</v>
      </c>
      <c r="H898" s="206"/>
      <c r="I898" s="233">
        <f>I894</f>
        <v>18</v>
      </c>
      <c r="J898" s="211" t="str">
        <f>J893</f>
        <v>1250 mm</v>
      </c>
      <c r="K898" s="234">
        <v>1</v>
      </c>
      <c r="L898" s="208" t="s">
        <v>81</v>
      </c>
      <c r="M898" s="227">
        <f t="shared" si="289"/>
        <v>1.25</v>
      </c>
      <c r="N898" s="208" t="s">
        <v>139</v>
      </c>
      <c r="O898" s="246">
        <f>VLOOKUP(I898,BM!$A$2:$X$104,10,FALSE)</f>
        <v>1</v>
      </c>
      <c r="P898" s="208" t="s">
        <v>112</v>
      </c>
      <c r="Q898" s="240">
        <f t="shared" si="285"/>
        <v>1.25</v>
      </c>
      <c r="R898" s="239">
        <v>1</v>
      </c>
      <c r="S898" s="240">
        <f t="shared" si="264"/>
        <v>2.25</v>
      </c>
      <c r="T898" s="216" t="s">
        <v>48</v>
      </c>
      <c r="U898" s="196" t="str">
        <f t="shared" si="265"/>
        <v>2.25 Hrs</v>
      </c>
    </row>
    <row r="899" spans="3:21" s="185" customFormat="1" ht="20.25" customHeight="1">
      <c r="C899" s="198"/>
      <c r="D899" s="203">
        <f t="shared" ref="D899:D962" si="291">D898+1</f>
        <v>899</v>
      </c>
      <c r="E899" s="207" t="s">
        <v>298</v>
      </c>
      <c r="F899" s="211">
        <f t="shared" si="290"/>
        <v>898</v>
      </c>
      <c r="G899" s="206" t="s">
        <v>299</v>
      </c>
      <c r="H899" s="206"/>
      <c r="I899" s="233">
        <f>I894</f>
        <v>18</v>
      </c>
      <c r="J899" s="211" t="str">
        <f>J894</f>
        <v>0 mm</v>
      </c>
      <c r="K899" s="234">
        <v>1</v>
      </c>
      <c r="L899" s="208" t="s">
        <v>81</v>
      </c>
      <c r="M899" s="227">
        <f t="shared" si="289"/>
        <v>0</v>
      </c>
      <c r="N899" s="208" t="s">
        <v>139</v>
      </c>
      <c r="O899" s="246">
        <f>VLOOKUP(I899,BM!$A$2:$X$104,10,FALSE)</f>
        <v>1</v>
      </c>
      <c r="P899" s="208" t="s">
        <v>112</v>
      </c>
      <c r="Q899" s="240">
        <f t="shared" si="285"/>
        <v>0</v>
      </c>
      <c r="R899" s="239">
        <v>1</v>
      </c>
      <c r="S899" s="240">
        <f t="shared" si="264"/>
        <v>1</v>
      </c>
      <c r="T899" s="216" t="s">
        <v>48</v>
      </c>
      <c r="U899" s="196" t="str">
        <f t="shared" si="265"/>
        <v>1 Hrs</v>
      </c>
    </row>
    <row r="900" spans="3:21" s="185" customFormat="1" ht="20.25" customHeight="1">
      <c r="C900" s="198">
        <f>D900</f>
        <v>900</v>
      </c>
      <c r="D900" s="203">
        <f t="shared" si="291"/>
        <v>900</v>
      </c>
      <c r="E900" s="204" t="s">
        <v>300</v>
      </c>
      <c r="F900" s="210">
        <f>D895</f>
        <v>895</v>
      </c>
      <c r="G900" s="206"/>
      <c r="H900" s="206"/>
      <c r="I900" s="208"/>
      <c r="J900" s="208"/>
      <c r="K900" s="234"/>
      <c r="L900" s="208"/>
      <c r="M900" s="217"/>
      <c r="N900" s="208"/>
      <c r="O900" s="218"/>
      <c r="P900" s="208"/>
      <c r="Q900" s="240"/>
      <c r="R900" s="239"/>
      <c r="S900" s="240"/>
      <c r="T900" s="216"/>
      <c r="U900" s="196"/>
    </row>
    <row r="901" spans="3:21" s="185" customFormat="1" ht="20.25" customHeight="1">
      <c r="C901" s="198"/>
      <c r="D901" s="203">
        <f t="shared" si="291"/>
        <v>901</v>
      </c>
      <c r="E901" s="207" t="s">
        <v>301</v>
      </c>
      <c r="F901" s="211"/>
      <c r="G901" s="206" t="s">
        <v>44</v>
      </c>
      <c r="H901" s="206"/>
      <c r="I901" s="233">
        <f>I899</f>
        <v>18</v>
      </c>
      <c r="J901" s="211" t="str">
        <f>J896</f>
        <v>2500 mm</v>
      </c>
      <c r="K901" s="234">
        <v>1</v>
      </c>
      <c r="L901" s="208" t="s">
        <v>81</v>
      </c>
      <c r="M901" s="227">
        <v>1</v>
      </c>
      <c r="N901" s="208" t="s">
        <v>39</v>
      </c>
      <c r="O901" s="246">
        <f>VLOOKUP(I901,BM!$A$2:$X$104,11,FALSE)</f>
        <v>1</v>
      </c>
      <c r="P901" s="208" t="s">
        <v>112</v>
      </c>
      <c r="Q901" s="240">
        <f t="shared" ref="Q901:Q904" si="292">M901*O901</f>
        <v>1</v>
      </c>
      <c r="R901" s="239">
        <v>1</v>
      </c>
      <c r="S901" s="240">
        <f t="shared" si="264"/>
        <v>2</v>
      </c>
      <c r="T901" s="216" t="s">
        <v>48</v>
      </c>
      <c r="U901" s="196" t="str">
        <f t="shared" si="265"/>
        <v>2 Hrs</v>
      </c>
    </row>
    <row r="902" spans="3:21" s="185" customFormat="1" ht="20.25" customHeight="1">
      <c r="C902" s="198"/>
      <c r="D902" s="203">
        <f t="shared" si="291"/>
        <v>902</v>
      </c>
      <c r="E902" s="207" t="s">
        <v>301</v>
      </c>
      <c r="F902" s="211">
        <f t="shared" ref="F902:F904" si="293">D901</f>
        <v>901</v>
      </c>
      <c r="G902" s="206" t="s">
        <v>44</v>
      </c>
      <c r="H902" s="206"/>
      <c r="I902" s="233">
        <f>I899</f>
        <v>18</v>
      </c>
      <c r="J902" s="211" t="str">
        <f>J897</f>
        <v>2500 mm</v>
      </c>
      <c r="K902" s="234">
        <v>1</v>
      </c>
      <c r="L902" s="208" t="s">
        <v>81</v>
      </c>
      <c r="M902" s="227">
        <v>1</v>
      </c>
      <c r="N902" s="208" t="s">
        <v>39</v>
      </c>
      <c r="O902" s="246">
        <f>VLOOKUP(I902,BM!$A$2:$X$104,11,FALSE)</f>
        <v>1</v>
      </c>
      <c r="P902" s="208" t="s">
        <v>112</v>
      </c>
      <c r="Q902" s="240">
        <f t="shared" si="292"/>
        <v>1</v>
      </c>
      <c r="R902" s="239">
        <v>1</v>
      </c>
      <c r="S902" s="240">
        <f t="shared" si="264"/>
        <v>2</v>
      </c>
      <c r="T902" s="216" t="s">
        <v>48</v>
      </c>
      <c r="U902" s="196" t="str">
        <f t="shared" si="265"/>
        <v>2 Hrs</v>
      </c>
    </row>
    <row r="903" spans="3:21" s="185" customFormat="1" ht="20.25" customHeight="1">
      <c r="C903" s="198"/>
      <c r="D903" s="203">
        <f t="shared" si="291"/>
        <v>903</v>
      </c>
      <c r="E903" s="207" t="s">
        <v>301</v>
      </c>
      <c r="F903" s="211">
        <f t="shared" si="293"/>
        <v>902</v>
      </c>
      <c r="G903" s="206" t="s">
        <v>44</v>
      </c>
      <c r="H903" s="206"/>
      <c r="I903" s="233">
        <f>I899</f>
        <v>18</v>
      </c>
      <c r="J903" s="211" t="str">
        <f>J898</f>
        <v>1250 mm</v>
      </c>
      <c r="K903" s="234">
        <v>1</v>
      </c>
      <c r="L903" s="208" t="s">
        <v>81</v>
      </c>
      <c r="M903" s="227">
        <v>1</v>
      </c>
      <c r="N903" s="208" t="s">
        <v>39</v>
      </c>
      <c r="O903" s="246">
        <f>VLOOKUP(I903,BM!$A$2:$X$104,11,FALSE)</f>
        <v>1</v>
      </c>
      <c r="P903" s="208" t="s">
        <v>112</v>
      </c>
      <c r="Q903" s="240">
        <f t="shared" si="292"/>
        <v>1</v>
      </c>
      <c r="R903" s="239">
        <v>1</v>
      </c>
      <c r="S903" s="240">
        <f t="shared" si="264"/>
        <v>2</v>
      </c>
      <c r="T903" s="216" t="s">
        <v>48</v>
      </c>
      <c r="U903" s="196" t="str">
        <f t="shared" si="265"/>
        <v>2 Hrs</v>
      </c>
    </row>
    <row r="904" spans="3:21" s="185" customFormat="1" ht="20.25" customHeight="1">
      <c r="C904" s="198"/>
      <c r="D904" s="203">
        <f t="shared" si="291"/>
        <v>904</v>
      </c>
      <c r="E904" s="207" t="s">
        <v>301</v>
      </c>
      <c r="F904" s="211">
        <f t="shared" si="293"/>
        <v>903</v>
      </c>
      <c r="G904" s="206" t="s">
        <v>44</v>
      </c>
      <c r="H904" s="206"/>
      <c r="I904" s="233">
        <f>I899</f>
        <v>18</v>
      </c>
      <c r="J904" s="211" t="str">
        <f>J899</f>
        <v>0 mm</v>
      </c>
      <c r="K904" s="234">
        <v>1</v>
      </c>
      <c r="L904" s="208" t="s">
        <v>81</v>
      </c>
      <c r="M904" s="227">
        <v>1</v>
      </c>
      <c r="N904" s="208" t="s">
        <v>39</v>
      </c>
      <c r="O904" s="246">
        <f>VLOOKUP(I904,BM!$A$2:$X$104,11,FALSE)</f>
        <v>1</v>
      </c>
      <c r="P904" s="208" t="s">
        <v>112</v>
      </c>
      <c r="Q904" s="240">
        <f t="shared" si="292"/>
        <v>1</v>
      </c>
      <c r="R904" s="239">
        <v>1</v>
      </c>
      <c r="S904" s="240">
        <f t="shared" si="264"/>
        <v>2</v>
      </c>
      <c r="T904" s="216" t="s">
        <v>48</v>
      </c>
      <c r="U904" s="196" t="str">
        <f t="shared" si="265"/>
        <v>2 Hrs</v>
      </c>
    </row>
    <row r="905" spans="3:21" s="185" customFormat="1" ht="20.25" customHeight="1">
      <c r="C905" s="198">
        <f>D905</f>
        <v>905</v>
      </c>
      <c r="D905" s="203">
        <f t="shared" si="291"/>
        <v>905</v>
      </c>
      <c r="E905" s="204" t="s">
        <v>302</v>
      </c>
      <c r="F905" s="210">
        <f>D900</f>
        <v>900</v>
      </c>
      <c r="G905" s="206"/>
      <c r="H905" s="206"/>
      <c r="I905" s="208"/>
      <c r="J905" s="208"/>
      <c r="K905" s="234"/>
      <c r="L905" s="208"/>
      <c r="M905" s="217"/>
      <c r="N905" s="208"/>
      <c r="O905" s="218"/>
      <c r="P905" s="208"/>
      <c r="Q905" s="240"/>
      <c r="R905" s="239"/>
      <c r="S905" s="240"/>
      <c r="T905" s="216"/>
      <c r="U905" s="196"/>
    </row>
    <row r="906" spans="3:21" s="185" customFormat="1" ht="20.25" customHeight="1">
      <c r="C906" s="198"/>
      <c r="D906" s="203">
        <f t="shared" si="291"/>
        <v>906</v>
      </c>
      <c r="E906" s="207" t="s">
        <v>303</v>
      </c>
      <c r="F906" s="211"/>
      <c r="G906" s="206" t="s">
        <v>115</v>
      </c>
      <c r="H906" s="206"/>
      <c r="I906" s="224">
        <v>12</v>
      </c>
      <c r="J906" s="211" t="str">
        <f>J901</f>
        <v>2500 mm</v>
      </c>
      <c r="K906" s="234">
        <v>1</v>
      </c>
      <c r="L906" s="208" t="s">
        <v>81</v>
      </c>
      <c r="M906" s="227">
        <f t="shared" ref="M906:M909" si="294">LEFT(J906,SEARCH(" ",J906,1)-1)*K906*0.001</f>
        <v>2.5</v>
      </c>
      <c r="N906" s="208" t="s">
        <v>139</v>
      </c>
      <c r="O906" s="246">
        <f>VLOOKUP(I906,BM!$A$2:$X$104,12,FALSE)</f>
        <v>2.5</v>
      </c>
      <c r="P906" s="208" t="s">
        <v>112</v>
      </c>
      <c r="Q906" s="240">
        <f t="shared" ref="Q906:Q909" si="295">M906*O906</f>
        <v>6.25</v>
      </c>
      <c r="R906" s="239">
        <v>1</v>
      </c>
      <c r="S906" s="240">
        <f t="shared" si="264"/>
        <v>7.25</v>
      </c>
      <c r="T906" s="216" t="s">
        <v>48</v>
      </c>
      <c r="U906" s="196" t="str">
        <f t="shared" si="265"/>
        <v>7.25 Hrs</v>
      </c>
    </row>
    <row r="907" spans="3:21" s="185" customFormat="1" ht="20.25" customHeight="1">
      <c r="C907" s="198"/>
      <c r="D907" s="203">
        <f t="shared" si="291"/>
        <v>907</v>
      </c>
      <c r="E907" s="207" t="s">
        <v>303</v>
      </c>
      <c r="F907" s="211">
        <f t="shared" ref="F907:F909" si="296">D906</f>
        <v>906</v>
      </c>
      <c r="G907" s="206" t="s">
        <v>115</v>
      </c>
      <c r="H907" s="206"/>
      <c r="I907" s="233">
        <f>I906</f>
        <v>12</v>
      </c>
      <c r="J907" s="211" t="str">
        <f>J902</f>
        <v>2500 mm</v>
      </c>
      <c r="K907" s="234">
        <v>1</v>
      </c>
      <c r="L907" s="208" t="s">
        <v>81</v>
      </c>
      <c r="M907" s="227">
        <f t="shared" si="294"/>
        <v>2.5</v>
      </c>
      <c r="N907" s="208" t="s">
        <v>139</v>
      </c>
      <c r="O907" s="246">
        <f>VLOOKUP(I907,BM!$A$2:$X$104,12,FALSE)</f>
        <v>2.5</v>
      </c>
      <c r="P907" s="208" t="s">
        <v>112</v>
      </c>
      <c r="Q907" s="240">
        <f t="shared" si="295"/>
        <v>6.25</v>
      </c>
      <c r="R907" s="239">
        <v>1</v>
      </c>
      <c r="S907" s="240">
        <f t="shared" si="264"/>
        <v>7.25</v>
      </c>
      <c r="T907" s="216" t="s">
        <v>48</v>
      </c>
      <c r="U907" s="196" t="str">
        <f t="shared" si="265"/>
        <v>7.25 Hrs</v>
      </c>
    </row>
    <row r="908" spans="3:21" s="185" customFormat="1" ht="20.25" customHeight="1">
      <c r="C908" s="198"/>
      <c r="D908" s="203">
        <f t="shared" si="291"/>
        <v>908</v>
      </c>
      <c r="E908" s="207" t="s">
        <v>303</v>
      </c>
      <c r="F908" s="211">
        <f t="shared" si="296"/>
        <v>907</v>
      </c>
      <c r="G908" s="206" t="s">
        <v>115</v>
      </c>
      <c r="H908" s="206"/>
      <c r="I908" s="233">
        <f>I907</f>
        <v>12</v>
      </c>
      <c r="J908" s="211" t="str">
        <f>J903</f>
        <v>1250 mm</v>
      </c>
      <c r="K908" s="234">
        <v>1</v>
      </c>
      <c r="L908" s="208" t="s">
        <v>81</v>
      </c>
      <c r="M908" s="227">
        <f t="shared" si="294"/>
        <v>1.25</v>
      </c>
      <c r="N908" s="208" t="s">
        <v>139</v>
      </c>
      <c r="O908" s="246">
        <f>VLOOKUP(I908,BM!$A$2:$X$104,12,FALSE)</f>
        <v>2.5</v>
      </c>
      <c r="P908" s="208" t="s">
        <v>112</v>
      </c>
      <c r="Q908" s="240">
        <f t="shared" si="295"/>
        <v>3.125</v>
      </c>
      <c r="R908" s="239">
        <v>1</v>
      </c>
      <c r="S908" s="240">
        <f t="shared" si="264"/>
        <v>4.13</v>
      </c>
      <c r="T908" s="216" t="s">
        <v>48</v>
      </c>
      <c r="U908" s="196" t="str">
        <f t="shared" si="265"/>
        <v>4.13 Hrs</v>
      </c>
    </row>
    <row r="909" spans="3:21" s="185" customFormat="1" ht="20.25" customHeight="1">
      <c r="C909" s="198"/>
      <c r="D909" s="203">
        <f t="shared" si="291"/>
        <v>909</v>
      </c>
      <c r="E909" s="207" t="s">
        <v>303</v>
      </c>
      <c r="F909" s="211">
        <f t="shared" si="296"/>
        <v>908</v>
      </c>
      <c r="G909" s="206" t="s">
        <v>115</v>
      </c>
      <c r="H909" s="206"/>
      <c r="I909" s="233">
        <f>I908</f>
        <v>12</v>
      </c>
      <c r="J909" s="211" t="str">
        <f>J904</f>
        <v>0 mm</v>
      </c>
      <c r="K909" s="234">
        <v>1</v>
      </c>
      <c r="L909" s="208" t="s">
        <v>81</v>
      </c>
      <c r="M909" s="227">
        <f t="shared" si="294"/>
        <v>0</v>
      </c>
      <c r="N909" s="208" t="s">
        <v>139</v>
      </c>
      <c r="O909" s="246">
        <f>VLOOKUP(I909,BM!$A$2:$X$104,12,FALSE)</f>
        <v>2.5</v>
      </c>
      <c r="P909" s="208" t="s">
        <v>112</v>
      </c>
      <c r="Q909" s="240">
        <f t="shared" si="295"/>
        <v>0</v>
      </c>
      <c r="R909" s="239">
        <v>1</v>
      </c>
      <c r="S909" s="240">
        <f t="shared" si="264"/>
        <v>1</v>
      </c>
      <c r="T909" s="216" t="s">
        <v>48</v>
      </c>
      <c r="U909" s="196" t="str">
        <f t="shared" si="265"/>
        <v>1 Hrs</v>
      </c>
    </row>
    <row r="910" spans="3:21" s="185" customFormat="1" ht="20.25" customHeight="1">
      <c r="C910" s="198">
        <f>D910</f>
        <v>910</v>
      </c>
      <c r="D910" s="203">
        <f t="shared" si="291"/>
        <v>910</v>
      </c>
      <c r="E910" s="204" t="s">
        <v>304</v>
      </c>
      <c r="F910" s="210">
        <f>D905</f>
        <v>905</v>
      </c>
      <c r="G910" s="206"/>
      <c r="H910" s="206"/>
      <c r="I910" s="208"/>
      <c r="J910" s="208"/>
      <c r="K910" s="234"/>
      <c r="L910" s="208"/>
      <c r="M910" s="217"/>
      <c r="N910" s="208"/>
      <c r="O910" s="218"/>
      <c r="P910" s="208"/>
      <c r="Q910" s="240"/>
      <c r="R910" s="239"/>
      <c r="S910" s="240"/>
      <c r="T910" s="216"/>
      <c r="U910" s="196"/>
    </row>
    <row r="911" spans="3:21" s="185" customFormat="1" ht="20.25" customHeight="1">
      <c r="C911" s="198"/>
      <c r="D911" s="203">
        <f t="shared" si="291"/>
        <v>911</v>
      </c>
      <c r="E911" s="207" t="s">
        <v>305</v>
      </c>
      <c r="F911" s="211"/>
      <c r="G911" s="206" t="s">
        <v>61</v>
      </c>
      <c r="H911" s="206"/>
      <c r="I911" s="224">
        <v>18</v>
      </c>
      <c r="J911" s="211" t="str">
        <f>J906</f>
        <v>2500 mm</v>
      </c>
      <c r="K911" s="234">
        <v>1</v>
      </c>
      <c r="L911" s="208" t="s">
        <v>81</v>
      </c>
      <c r="M911" s="227">
        <f t="shared" ref="M911:M914" si="297">LEFT(J911,SEARCH(" ",J911,1)-1)*K911*0.001</f>
        <v>2.5</v>
      </c>
      <c r="N911" s="208" t="s">
        <v>139</v>
      </c>
      <c r="O911" s="246">
        <f>VLOOKUP(I911,BM!$A$2:$X$104,18,FALSE)</f>
        <v>1</v>
      </c>
      <c r="P911" s="208" t="s">
        <v>112</v>
      </c>
      <c r="Q911" s="240">
        <f t="shared" ref="Q911:Q914" si="298">M911*O911</f>
        <v>2.5</v>
      </c>
      <c r="R911" s="239">
        <v>1</v>
      </c>
      <c r="S911" s="240">
        <f t="shared" si="264"/>
        <v>3.5</v>
      </c>
      <c r="T911" s="216" t="s">
        <v>48</v>
      </c>
      <c r="U911" s="196" t="str">
        <f t="shared" si="265"/>
        <v>3.5 Hrs</v>
      </c>
    </row>
    <row r="912" spans="3:21" s="185" customFormat="1" ht="20.25" customHeight="1">
      <c r="C912" s="198"/>
      <c r="D912" s="203">
        <f t="shared" si="291"/>
        <v>912</v>
      </c>
      <c r="E912" s="207" t="s">
        <v>305</v>
      </c>
      <c r="F912" s="211">
        <f t="shared" ref="F912:F914" si="299">D911</f>
        <v>911</v>
      </c>
      <c r="G912" s="206" t="s">
        <v>61</v>
      </c>
      <c r="H912" s="206"/>
      <c r="I912" s="224">
        <v>18</v>
      </c>
      <c r="J912" s="211" t="str">
        <f>J907</f>
        <v>2500 mm</v>
      </c>
      <c r="K912" s="234">
        <v>1</v>
      </c>
      <c r="L912" s="208" t="s">
        <v>81</v>
      </c>
      <c r="M912" s="227">
        <f t="shared" si="297"/>
        <v>2.5</v>
      </c>
      <c r="N912" s="208" t="s">
        <v>139</v>
      </c>
      <c r="O912" s="246">
        <f>VLOOKUP(I912,BM!$A$2:$X$104,18,FALSE)</f>
        <v>1</v>
      </c>
      <c r="P912" s="208" t="s">
        <v>112</v>
      </c>
      <c r="Q912" s="240">
        <f t="shared" si="298"/>
        <v>2.5</v>
      </c>
      <c r="R912" s="239">
        <v>1</v>
      </c>
      <c r="S912" s="240">
        <f t="shared" si="264"/>
        <v>3.5</v>
      </c>
      <c r="T912" s="216" t="s">
        <v>48</v>
      </c>
      <c r="U912" s="196" t="str">
        <f t="shared" si="265"/>
        <v>3.5 Hrs</v>
      </c>
    </row>
    <row r="913" spans="3:21" s="185" customFormat="1" ht="20.25" customHeight="1">
      <c r="C913" s="198"/>
      <c r="D913" s="203">
        <f t="shared" si="291"/>
        <v>913</v>
      </c>
      <c r="E913" s="207" t="s">
        <v>305</v>
      </c>
      <c r="F913" s="211">
        <f t="shared" si="299"/>
        <v>912</v>
      </c>
      <c r="G913" s="206" t="s">
        <v>61</v>
      </c>
      <c r="H913" s="206"/>
      <c r="I913" s="224">
        <v>18</v>
      </c>
      <c r="J913" s="211" t="str">
        <f>J908</f>
        <v>1250 mm</v>
      </c>
      <c r="K913" s="234">
        <v>1</v>
      </c>
      <c r="L913" s="208" t="s">
        <v>81</v>
      </c>
      <c r="M913" s="227">
        <f t="shared" si="297"/>
        <v>1.25</v>
      </c>
      <c r="N913" s="208" t="s">
        <v>139</v>
      </c>
      <c r="O913" s="246">
        <f>VLOOKUP(I913,BM!$A$2:$X$104,18,FALSE)</f>
        <v>1</v>
      </c>
      <c r="P913" s="208" t="s">
        <v>112</v>
      </c>
      <c r="Q913" s="240">
        <f t="shared" si="298"/>
        <v>1.25</v>
      </c>
      <c r="R913" s="239">
        <v>1</v>
      </c>
      <c r="S913" s="240">
        <f t="shared" si="264"/>
        <v>2.25</v>
      </c>
      <c r="T913" s="216" t="s">
        <v>48</v>
      </c>
      <c r="U913" s="196" t="str">
        <f t="shared" si="265"/>
        <v>2.25 Hrs</v>
      </c>
    </row>
    <row r="914" spans="3:21" s="185" customFormat="1" ht="20.25" customHeight="1">
      <c r="C914" s="198"/>
      <c r="D914" s="203">
        <f t="shared" si="291"/>
        <v>914</v>
      </c>
      <c r="E914" s="207" t="s">
        <v>305</v>
      </c>
      <c r="F914" s="211">
        <f t="shared" si="299"/>
        <v>913</v>
      </c>
      <c r="G914" s="206" t="s">
        <v>61</v>
      </c>
      <c r="H914" s="206"/>
      <c r="I914" s="224">
        <v>18</v>
      </c>
      <c r="J914" s="211" t="str">
        <f>J909</f>
        <v>0 mm</v>
      </c>
      <c r="K914" s="234">
        <v>1</v>
      </c>
      <c r="L914" s="208" t="s">
        <v>81</v>
      </c>
      <c r="M914" s="227">
        <f t="shared" si="297"/>
        <v>0</v>
      </c>
      <c r="N914" s="208" t="s">
        <v>139</v>
      </c>
      <c r="O914" s="246">
        <f>VLOOKUP(I914,BM!$A$2:$X$104,18,FALSE)</f>
        <v>1</v>
      </c>
      <c r="P914" s="208" t="s">
        <v>112</v>
      </c>
      <c r="Q914" s="240">
        <f t="shared" si="298"/>
        <v>0</v>
      </c>
      <c r="R914" s="239">
        <v>1</v>
      </c>
      <c r="S914" s="240">
        <f t="shared" si="264"/>
        <v>1</v>
      </c>
      <c r="T914" s="216" t="s">
        <v>48</v>
      </c>
      <c r="U914" s="196" t="str">
        <f t="shared" si="265"/>
        <v>1 Hrs</v>
      </c>
    </row>
    <row r="915" spans="3:21" s="185" customFormat="1" ht="20.25" customHeight="1">
      <c r="C915" s="198">
        <f>D915</f>
        <v>915</v>
      </c>
      <c r="D915" s="203">
        <f t="shared" si="291"/>
        <v>915</v>
      </c>
      <c r="E915" s="204" t="s">
        <v>306</v>
      </c>
      <c r="F915" s="210">
        <f>D910</f>
        <v>910</v>
      </c>
      <c r="G915" s="206"/>
      <c r="H915" s="206"/>
      <c r="I915" s="208"/>
      <c r="J915" s="208"/>
      <c r="K915" s="234"/>
      <c r="L915" s="208"/>
      <c r="M915" s="217"/>
      <c r="N915" s="208"/>
      <c r="O915" s="218"/>
      <c r="P915" s="208"/>
      <c r="Q915" s="240"/>
      <c r="R915" s="239"/>
      <c r="S915" s="240"/>
      <c r="T915" s="216"/>
      <c r="U915" s="196"/>
    </row>
    <row r="916" spans="3:21" s="185" customFormat="1" ht="20.25" customHeight="1">
      <c r="C916" s="198"/>
      <c r="D916" s="203">
        <f t="shared" si="291"/>
        <v>916</v>
      </c>
      <c r="E916" s="207" t="s">
        <v>307</v>
      </c>
      <c r="F916" s="211"/>
      <c r="G916" s="206" t="s">
        <v>115</v>
      </c>
      <c r="H916" s="206"/>
      <c r="I916" s="224">
        <v>6</v>
      </c>
      <c r="J916" s="211" t="str">
        <f>J911</f>
        <v>2500 mm</v>
      </c>
      <c r="K916" s="234">
        <v>1</v>
      </c>
      <c r="L916" s="208" t="s">
        <v>81</v>
      </c>
      <c r="M916" s="227">
        <f t="shared" ref="M916:M919" si="300">LEFT(J916,SEARCH(" ",J916,1)-1)*K916*0.001</f>
        <v>2.5</v>
      </c>
      <c r="N916" s="208" t="s">
        <v>139</v>
      </c>
      <c r="O916" s="246">
        <f>VLOOKUP(I916,BM!$A$2:$X$104,12,FALSE)</f>
        <v>0.9</v>
      </c>
      <c r="P916" s="208" t="s">
        <v>112</v>
      </c>
      <c r="Q916" s="240">
        <f t="shared" ref="Q916:Q919" si="301">M916*O916</f>
        <v>2.25</v>
      </c>
      <c r="R916" s="239">
        <v>1</v>
      </c>
      <c r="S916" s="240">
        <f t="shared" si="264"/>
        <v>3.25</v>
      </c>
      <c r="T916" s="216" t="s">
        <v>48</v>
      </c>
      <c r="U916" s="196" t="str">
        <f t="shared" si="265"/>
        <v>3.25 Hrs</v>
      </c>
    </row>
    <row r="917" spans="3:21" s="185" customFormat="1" ht="20.25" customHeight="1">
      <c r="C917" s="198"/>
      <c r="D917" s="203">
        <f t="shared" si="291"/>
        <v>917</v>
      </c>
      <c r="E917" s="207" t="s">
        <v>307</v>
      </c>
      <c r="F917" s="211">
        <f t="shared" ref="F917:F919" si="302">D916</f>
        <v>916</v>
      </c>
      <c r="G917" s="206" t="s">
        <v>115</v>
      </c>
      <c r="H917" s="206"/>
      <c r="I917" s="233">
        <f>I916</f>
        <v>6</v>
      </c>
      <c r="J917" s="211" t="str">
        <f>J912</f>
        <v>2500 mm</v>
      </c>
      <c r="K917" s="234">
        <v>1</v>
      </c>
      <c r="L917" s="208" t="s">
        <v>81</v>
      </c>
      <c r="M917" s="227">
        <f t="shared" si="300"/>
        <v>2.5</v>
      </c>
      <c r="N917" s="208" t="s">
        <v>139</v>
      </c>
      <c r="O917" s="246">
        <f>VLOOKUP(I917,BM!$A$2:$X$104,12,FALSE)</f>
        <v>0.9</v>
      </c>
      <c r="P917" s="208" t="s">
        <v>112</v>
      </c>
      <c r="Q917" s="240">
        <f t="shared" si="301"/>
        <v>2.25</v>
      </c>
      <c r="R917" s="239">
        <v>1</v>
      </c>
      <c r="S917" s="240">
        <f t="shared" si="264"/>
        <v>3.25</v>
      </c>
      <c r="T917" s="216" t="s">
        <v>48</v>
      </c>
      <c r="U917" s="196" t="str">
        <f t="shared" si="265"/>
        <v>3.25 Hrs</v>
      </c>
    </row>
    <row r="918" spans="3:21" s="185" customFormat="1" ht="20.25" customHeight="1">
      <c r="C918" s="198"/>
      <c r="D918" s="203">
        <f t="shared" si="291"/>
        <v>918</v>
      </c>
      <c r="E918" s="207" t="s">
        <v>307</v>
      </c>
      <c r="F918" s="211">
        <f t="shared" si="302"/>
        <v>917</v>
      </c>
      <c r="G918" s="206" t="s">
        <v>115</v>
      </c>
      <c r="H918" s="206"/>
      <c r="I918" s="233">
        <f>I917</f>
        <v>6</v>
      </c>
      <c r="J918" s="211" t="str">
        <f>J913</f>
        <v>1250 mm</v>
      </c>
      <c r="K918" s="234">
        <v>1</v>
      </c>
      <c r="L918" s="208" t="s">
        <v>81</v>
      </c>
      <c r="M918" s="227">
        <f t="shared" si="300"/>
        <v>1.25</v>
      </c>
      <c r="N918" s="208" t="s">
        <v>139</v>
      </c>
      <c r="O918" s="246">
        <f>VLOOKUP(I918,BM!$A$2:$X$104,12,FALSE)</f>
        <v>0.9</v>
      </c>
      <c r="P918" s="208" t="s">
        <v>112</v>
      </c>
      <c r="Q918" s="240">
        <f t="shared" si="301"/>
        <v>1.125</v>
      </c>
      <c r="R918" s="239">
        <v>1</v>
      </c>
      <c r="S918" s="240">
        <f t="shared" si="264"/>
        <v>2.13</v>
      </c>
      <c r="T918" s="216" t="s">
        <v>48</v>
      </c>
      <c r="U918" s="196" t="str">
        <f t="shared" si="265"/>
        <v>2.13 Hrs</v>
      </c>
    </row>
    <row r="919" spans="3:21" s="185" customFormat="1" ht="20.25" customHeight="1">
      <c r="C919" s="198"/>
      <c r="D919" s="203">
        <f t="shared" si="291"/>
        <v>919</v>
      </c>
      <c r="E919" s="207" t="s">
        <v>307</v>
      </c>
      <c r="F919" s="211">
        <f t="shared" si="302"/>
        <v>918</v>
      </c>
      <c r="G919" s="206" t="s">
        <v>115</v>
      </c>
      <c r="H919" s="206"/>
      <c r="I919" s="233">
        <f>I918</f>
        <v>6</v>
      </c>
      <c r="J919" s="211" t="str">
        <f>J914</f>
        <v>0 mm</v>
      </c>
      <c r="K919" s="234">
        <v>1</v>
      </c>
      <c r="L919" s="208" t="s">
        <v>81</v>
      </c>
      <c r="M919" s="227">
        <f t="shared" si="300"/>
        <v>0</v>
      </c>
      <c r="N919" s="208" t="s">
        <v>139</v>
      </c>
      <c r="O919" s="246">
        <f>VLOOKUP(I919,BM!$A$2:$X$104,12,FALSE)</f>
        <v>0.9</v>
      </c>
      <c r="P919" s="208" t="s">
        <v>112</v>
      </c>
      <c r="Q919" s="240">
        <f t="shared" si="301"/>
        <v>0</v>
      </c>
      <c r="R919" s="239">
        <v>1</v>
      </c>
      <c r="S919" s="240">
        <f t="shared" si="264"/>
        <v>1</v>
      </c>
      <c r="T919" s="216" t="s">
        <v>48</v>
      </c>
      <c r="U919" s="196" t="str">
        <f t="shared" si="265"/>
        <v>1 Hrs</v>
      </c>
    </row>
    <row r="920" spans="3:21" s="185" customFormat="1" ht="20.25" customHeight="1">
      <c r="C920" s="198">
        <f>D920</f>
        <v>920</v>
      </c>
      <c r="D920" s="203">
        <f t="shared" si="291"/>
        <v>920</v>
      </c>
      <c r="E920" s="204" t="s">
        <v>308</v>
      </c>
      <c r="F920" s="210">
        <f>D915</f>
        <v>915</v>
      </c>
      <c r="G920" s="206"/>
      <c r="H920" s="206"/>
      <c r="I920" s="208"/>
      <c r="J920" s="208"/>
      <c r="K920" s="234"/>
      <c r="L920" s="208"/>
      <c r="M920" s="217"/>
      <c r="N920" s="208"/>
      <c r="O920" s="218"/>
      <c r="P920" s="208"/>
      <c r="Q920" s="240"/>
      <c r="R920" s="239"/>
      <c r="S920" s="240"/>
      <c r="T920" s="216"/>
      <c r="U920" s="196"/>
    </row>
    <row r="921" spans="3:21" s="185" customFormat="1" ht="20.25" customHeight="1">
      <c r="C921" s="198"/>
      <c r="D921" s="203">
        <f t="shared" si="291"/>
        <v>921</v>
      </c>
      <c r="E921" s="207" t="s">
        <v>309</v>
      </c>
      <c r="F921" s="211"/>
      <c r="G921" s="206" t="s">
        <v>61</v>
      </c>
      <c r="H921" s="206"/>
      <c r="I921" s="233">
        <f>I911</f>
        <v>18</v>
      </c>
      <c r="J921" s="211" t="str">
        <f>J916</f>
        <v>2500 mm</v>
      </c>
      <c r="K921" s="234">
        <v>1</v>
      </c>
      <c r="L921" s="208" t="s">
        <v>81</v>
      </c>
      <c r="M921" s="227">
        <f t="shared" ref="M921:M924" si="303">LEFT(J921,SEARCH(" ",J921,1)-1)*K921*0.001</f>
        <v>2.5</v>
      </c>
      <c r="N921" s="208" t="s">
        <v>139</v>
      </c>
      <c r="O921" s="246">
        <f>VLOOKUP(I921,BM!$A$2:$X$104,20,FALSE)</f>
        <v>0.5</v>
      </c>
      <c r="P921" s="208" t="s">
        <v>112</v>
      </c>
      <c r="Q921" s="240">
        <f t="shared" ref="Q921:Q924" si="304">M921*O921</f>
        <v>1.25</v>
      </c>
      <c r="R921" s="239">
        <v>1</v>
      </c>
      <c r="S921" s="240">
        <f t="shared" si="264"/>
        <v>2.25</v>
      </c>
      <c r="T921" s="216" t="s">
        <v>48</v>
      </c>
      <c r="U921" s="196" t="str">
        <f t="shared" si="265"/>
        <v>2.25 Hrs</v>
      </c>
    </row>
    <row r="922" spans="3:21" s="185" customFormat="1" ht="20.25" customHeight="1">
      <c r="C922" s="198"/>
      <c r="D922" s="203">
        <f t="shared" si="291"/>
        <v>922</v>
      </c>
      <c r="E922" s="207" t="s">
        <v>309</v>
      </c>
      <c r="F922" s="211">
        <f t="shared" ref="F922:F924" si="305">D921</f>
        <v>921</v>
      </c>
      <c r="G922" s="206" t="s">
        <v>61</v>
      </c>
      <c r="H922" s="206"/>
      <c r="I922" s="233">
        <f t="shared" ref="I922:I924" si="306">I921</f>
        <v>18</v>
      </c>
      <c r="J922" s="211" t="str">
        <f>J917</f>
        <v>2500 mm</v>
      </c>
      <c r="K922" s="234">
        <v>1</v>
      </c>
      <c r="L922" s="208" t="s">
        <v>81</v>
      </c>
      <c r="M922" s="227">
        <f t="shared" si="303"/>
        <v>2.5</v>
      </c>
      <c r="N922" s="208" t="s">
        <v>139</v>
      </c>
      <c r="O922" s="246">
        <f>VLOOKUP(I922,BM!$A$2:$X$104,20,FALSE)</f>
        <v>0.5</v>
      </c>
      <c r="P922" s="208" t="s">
        <v>112</v>
      </c>
      <c r="Q922" s="240">
        <f t="shared" si="304"/>
        <v>1.25</v>
      </c>
      <c r="R922" s="239">
        <v>1</v>
      </c>
      <c r="S922" s="240">
        <f t="shared" si="264"/>
        <v>2.25</v>
      </c>
      <c r="T922" s="216" t="s">
        <v>48</v>
      </c>
      <c r="U922" s="196" t="str">
        <f t="shared" si="265"/>
        <v>2.25 Hrs</v>
      </c>
    </row>
    <row r="923" spans="3:21" s="185" customFormat="1" ht="20.25" customHeight="1">
      <c r="C923" s="198"/>
      <c r="D923" s="203">
        <f t="shared" si="291"/>
        <v>923</v>
      </c>
      <c r="E923" s="207" t="s">
        <v>309</v>
      </c>
      <c r="F923" s="211">
        <f t="shared" si="305"/>
        <v>922</v>
      </c>
      <c r="G923" s="206" t="s">
        <v>61</v>
      </c>
      <c r="H923" s="206"/>
      <c r="I923" s="233">
        <f t="shared" si="306"/>
        <v>18</v>
      </c>
      <c r="J923" s="211" t="str">
        <f>J918</f>
        <v>1250 mm</v>
      </c>
      <c r="K923" s="234">
        <v>1</v>
      </c>
      <c r="L923" s="208" t="s">
        <v>81</v>
      </c>
      <c r="M923" s="227">
        <f t="shared" si="303"/>
        <v>1.25</v>
      </c>
      <c r="N923" s="208" t="s">
        <v>139</v>
      </c>
      <c r="O923" s="246">
        <f>VLOOKUP(I923,BM!$A$2:$X$104,20,FALSE)</f>
        <v>0.5</v>
      </c>
      <c r="P923" s="208" t="s">
        <v>112</v>
      </c>
      <c r="Q923" s="240">
        <f t="shared" si="304"/>
        <v>0.625</v>
      </c>
      <c r="R923" s="239">
        <v>1</v>
      </c>
      <c r="S923" s="240">
        <f t="shared" si="264"/>
        <v>1.63</v>
      </c>
      <c r="T923" s="216" t="s">
        <v>48</v>
      </c>
      <c r="U923" s="196" t="str">
        <f t="shared" si="265"/>
        <v>1.63 Hrs</v>
      </c>
    </row>
    <row r="924" spans="3:21" s="185" customFormat="1" ht="20.25" customHeight="1">
      <c r="C924" s="198"/>
      <c r="D924" s="203">
        <f t="shared" si="291"/>
        <v>924</v>
      </c>
      <c r="E924" s="207" t="s">
        <v>309</v>
      </c>
      <c r="F924" s="211">
        <f t="shared" si="305"/>
        <v>923</v>
      </c>
      <c r="G924" s="206" t="s">
        <v>61</v>
      </c>
      <c r="H924" s="206"/>
      <c r="I924" s="233">
        <f t="shared" si="306"/>
        <v>18</v>
      </c>
      <c r="J924" s="211" t="str">
        <f>J919</f>
        <v>0 mm</v>
      </c>
      <c r="K924" s="234">
        <v>1</v>
      </c>
      <c r="L924" s="208" t="s">
        <v>81</v>
      </c>
      <c r="M924" s="227">
        <f t="shared" si="303"/>
        <v>0</v>
      </c>
      <c r="N924" s="208" t="s">
        <v>139</v>
      </c>
      <c r="O924" s="246">
        <f>VLOOKUP(I924,BM!$A$2:$X$104,20,FALSE)</f>
        <v>0.5</v>
      </c>
      <c r="P924" s="208" t="s">
        <v>112</v>
      </c>
      <c r="Q924" s="240">
        <f t="shared" si="304"/>
        <v>0</v>
      </c>
      <c r="R924" s="239">
        <v>1</v>
      </c>
      <c r="S924" s="240">
        <f t="shared" si="264"/>
        <v>1</v>
      </c>
      <c r="T924" s="216" t="s">
        <v>48</v>
      </c>
      <c r="U924" s="196" t="str">
        <f t="shared" ref="U924:U987" si="307">CONCATENATE(S924," ",T924)</f>
        <v>1 Hrs</v>
      </c>
    </row>
    <row r="925" spans="3:21" s="185" customFormat="1" ht="20.25" customHeight="1">
      <c r="C925" s="198">
        <f>D925</f>
        <v>925</v>
      </c>
      <c r="D925" s="203">
        <f t="shared" si="291"/>
        <v>925</v>
      </c>
      <c r="E925" s="204" t="s">
        <v>310</v>
      </c>
      <c r="F925" s="210">
        <f>D920</f>
        <v>920</v>
      </c>
      <c r="G925" s="206"/>
      <c r="H925" s="206"/>
      <c r="I925" s="208"/>
      <c r="J925" s="208"/>
      <c r="K925" s="234"/>
      <c r="L925" s="208"/>
      <c r="M925" s="217"/>
      <c r="N925" s="208"/>
      <c r="O925" s="218"/>
      <c r="P925" s="208"/>
      <c r="Q925" s="240"/>
      <c r="R925" s="239"/>
      <c r="S925" s="240"/>
      <c r="T925" s="216"/>
      <c r="U925" s="196"/>
    </row>
    <row r="926" spans="3:21" s="185" customFormat="1" ht="20.25" customHeight="1">
      <c r="C926" s="198"/>
      <c r="D926" s="203">
        <f t="shared" si="291"/>
        <v>926</v>
      </c>
      <c r="E926" s="207" t="s">
        <v>311</v>
      </c>
      <c r="F926" s="211"/>
      <c r="G926" s="206" t="s">
        <v>312</v>
      </c>
      <c r="H926" s="206"/>
      <c r="I926" s="233">
        <f>I924</f>
        <v>18</v>
      </c>
      <c r="J926" s="211" t="str">
        <f>J921</f>
        <v>2500 mm</v>
      </c>
      <c r="K926" s="234">
        <v>1</v>
      </c>
      <c r="L926" s="208" t="s">
        <v>81</v>
      </c>
      <c r="M926" s="217">
        <v>1</v>
      </c>
      <c r="N926" s="208" t="s">
        <v>39</v>
      </c>
      <c r="O926" s="218">
        <v>1</v>
      </c>
      <c r="P926" s="208" t="s">
        <v>41</v>
      </c>
      <c r="Q926" s="240">
        <f t="shared" ref="Q926:Q934" si="308">M926*O926</f>
        <v>1</v>
      </c>
      <c r="R926" s="239"/>
      <c r="S926" s="240">
        <f t="shared" ref="S926:S988" si="309">ROUND(Q926+R926,2)</f>
        <v>1</v>
      </c>
      <c r="T926" s="216" t="s">
        <v>42</v>
      </c>
      <c r="U926" s="196" t="str">
        <f t="shared" si="307"/>
        <v>1 Days</v>
      </c>
    </row>
    <row r="927" spans="3:21" s="185" customFormat="1" ht="20.25" customHeight="1">
      <c r="C927" s="198"/>
      <c r="D927" s="203">
        <f t="shared" si="291"/>
        <v>927</v>
      </c>
      <c r="E927" s="207" t="s">
        <v>311</v>
      </c>
      <c r="F927" s="211">
        <f t="shared" ref="F927:F929" si="310">D926</f>
        <v>926</v>
      </c>
      <c r="G927" s="206" t="s">
        <v>312</v>
      </c>
      <c r="H927" s="206"/>
      <c r="I927" s="233">
        <f t="shared" ref="I927:I929" si="311">I926</f>
        <v>18</v>
      </c>
      <c r="J927" s="211" t="str">
        <f>J922</f>
        <v>2500 mm</v>
      </c>
      <c r="K927" s="234">
        <v>1</v>
      </c>
      <c r="L927" s="208" t="s">
        <v>81</v>
      </c>
      <c r="M927" s="217">
        <v>1</v>
      </c>
      <c r="N927" s="208" t="s">
        <v>39</v>
      </c>
      <c r="O927" s="246">
        <f t="shared" ref="O927:P927" si="312">O926</f>
        <v>1</v>
      </c>
      <c r="P927" s="211" t="str">
        <f t="shared" si="312"/>
        <v>Day</v>
      </c>
      <c r="Q927" s="240">
        <f t="shared" si="308"/>
        <v>1</v>
      </c>
      <c r="R927" s="239"/>
      <c r="S927" s="240">
        <f t="shared" si="309"/>
        <v>1</v>
      </c>
      <c r="T927" s="216" t="s">
        <v>42</v>
      </c>
      <c r="U927" s="196" t="str">
        <f t="shared" si="307"/>
        <v>1 Days</v>
      </c>
    </row>
    <row r="928" spans="3:21" s="185" customFormat="1" ht="20.25" customHeight="1">
      <c r="C928" s="198"/>
      <c r="D928" s="203">
        <f t="shared" si="291"/>
        <v>928</v>
      </c>
      <c r="E928" s="207" t="s">
        <v>311</v>
      </c>
      <c r="F928" s="211">
        <f t="shared" si="310"/>
        <v>927</v>
      </c>
      <c r="G928" s="206" t="s">
        <v>312</v>
      </c>
      <c r="H928" s="206"/>
      <c r="I928" s="233">
        <f t="shared" si="311"/>
        <v>18</v>
      </c>
      <c r="J928" s="211" t="str">
        <f>J923</f>
        <v>1250 mm</v>
      </c>
      <c r="K928" s="234">
        <v>1</v>
      </c>
      <c r="L928" s="208" t="s">
        <v>81</v>
      </c>
      <c r="M928" s="217">
        <v>1</v>
      </c>
      <c r="N928" s="208" t="s">
        <v>39</v>
      </c>
      <c r="O928" s="246">
        <f t="shared" ref="O928:P928" si="313">O927</f>
        <v>1</v>
      </c>
      <c r="P928" s="211" t="str">
        <f t="shared" si="313"/>
        <v>Day</v>
      </c>
      <c r="Q928" s="240">
        <f t="shared" si="308"/>
        <v>1</v>
      </c>
      <c r="R928" s="239"/>
      <c r="S928" s="240">
        <f t="shared" si="309"/>
        <v>1</v>
      </c>
      <c r="T928" s="216" t="s">
        <v>42</v>
      </c>
      <c r="U928" s="196" t="str">
        <f t="shared" si="307"/>
        <v>1 Days</v>
      </c>
    </row>
    <row r="929" spans="3:21" s="185" customFormat="1" ht="20.25" customHeight="1">
      <c r="C929" s="198"/>
      <c r="D929" s="203">
        <f t="shared" si="291"/>
        <v>929</v>
      </c>
      <c r="E929" s="207" t="s">
        <v>311</v>
      </c>
      <c r="F929" s="211">
        <f t="shared" si="310"/>
        <v>928</v>
      </c>
      <c r="G929" s="206" t="s">
        <v>312</v>
      </c>
      <c r="H929" s="206"/>
      <c r="I929" s="233">
        <f t="shared" si="311"/>
        <v>18</v>
      </c>
      <c r="J929" s="211" t="str">
        <f>J924</f>
        <v>0 mm</v>
      </c>
      <c r="K929" s="234">
        <v>1</v>
      </c>
      <c r="L929" s="208" t="s">
        <v>81</v>
      </c>
      <c r="M929" s="217">
        <v>1</v>
      </c>
      <c r="N929" s="208" t="s">
        <v>39</v>
      </c>
      <c r="O929" s="246">
        <f t="shared" ref="O929:P929" si="314">O928</f>
        <v>1</v>
      </c>
      <c r="P929" s="211" t="str">
        <f t="shared" si="314"/>
        <v>Day</v>
      </c>
      <c r="Q929" s="240">
        <f t="shared" si="308"/>
        <v>1</v>
      </c>
      <c r="R929" s="239"/>
      <c r="S929" s="240">
        <f t="shared" si="309"/>
        <v>1</v>
      </c>
      <c r="T929" s="216" t="s">
        <v>42</v>
      </c>
      <c r="U929" s="196" t="str">
        <f t="shared" si="307"/>
        <v>1 Days</v>
      </c>
    </row>
    <row r="930" spans="3:21" s="185" customFormat="1" ht="20.25" customHeight="1">
      <c r="C930" s="198">
        <f>D930</f>
        <v>930</v>
      </c>
      <c r="D930" s="203">
        <f t="shared" si="291"/>
        <v>930</v>
      </c>
      <c r="E930" s="204" t="s">
        <v>313</v>
      </c>
      <c r="F930" s="210">
        <f>D925</f>
        <v>925</v>
      </c>
      <c r="G930" s="206"/>
      <c r="H930" s="206"/>
      <c r="I930" s="208"/>
      <c r="J930" s="208"/>
      <c r="K930" s="234"/>
      <c r="L930" s="208"/>
      <c r="M930" s="217"/>
      <c r="N930" s="208"/>
      <c r="O930" s="218"/>
      <c r="P930" s="208"/>
      <c r="Q930" s="240">
        <f t="shared" si="308"/>
        <v>0</v>
      </c>
      <c r="R930" s="239"/>
      <c r="S930" s="240"/>
      <c r="T930" s="216"/>
      <c r="U930" s="196"/>
    </row>
    <row r="931" spans="3:21" s="185" customFormat="1" ht="20.25" customHeight="1">
      <c r="C931" s="198"/>
      <c r="D931" s="203">
        <f t="shared" si="291"/>
        <v>931</v>
      </c>
      <c r="E931" s="207" t="s">
        <v>314</v>
      </c>
      <c r="F931" s="211"/>
      <c r="G931" s="206" t="s">
        <v>286</v>
      </c>
      <c r="H931" s="206"/>
      <c r="I931" s="233">
        <f>I929</f>
        <v>18</v>
      </c>
      <c r="J931" s="211" t="str">
        <f>J926</f>
        <v>2500 mm</v>
      </c>
      <c r="K931" s="234">
        <v>1</v>
      </c>
      <c r="L931" s="208" t="s">
        <v>81</v>
      </c>
      <c r="M931" s="235">
        <f>K931</f>
        <v>1</v>
      </c>
      <c r="N931" s="208" t="s">
        <v>39</v>
      </c>
      <c r="O931" s="218">
        <v>3</v>
      </c>
      <c r="P931" s="208" t="s">
        <v>112</v>
      </c>
      <c r="Q931" s="240">
        <f t="shared" si="308"/>
        <v>3</v>
      </c>
      <c r="R931" s="239">
        <v>1</v>
      </c>
      <c r="S931" s="240">
        <f t="shared" si="309"/>
        <v>4</v>
      </c>
      <c r="T931" s="216" t="s">
        <v>48</v>
      </c>
      <c r="U931" s="196" t="str">
        <f t="shared" si="307"/>
        <v>4 Hrs</v>
      </c>
    </row>
    <row r="932" spans="3:21" s="185" customFormat="1" ht="20.25" customHeight="1">
      <c r="C932" s="198"/>
      <c r="D932" s="203">
        <f t="shared" si="291"/>
        <v>932</v>
      </c>
      <c r="E932" s="207" t="s">
        <v>314</v>
      </c>
      <c r="F932" s="211">
        <f t="shared" ref="F932:F934" si="315">D931</f>
        <v>931</v>
      </c>
      <c r="G932" s="206" t="s">
        <v>286</v>
      </c>
      <c r="H932" s="206"/>
      <c r="I932" s="233">
        <f>I929</f>
        <v>18</v>
      </c>
      <c r="J932" s="211" t="str">
        <f>J927</f>
        <v>2500 mm</v>
      </c>
      <c r="K932" s="234">
        <v>1</v>
      </c>
      <c r="L932" s="208" t="s">
        <v>81</v>
      </c>
      <c r="M932" s="235">
        <f>K932</f>
        <v>1</v>
      </c>
      <c r="N932" s="208" t="s">
        <v>39</v>
      </c>
      <c r="O932" s="246">
        <f>O931</f>
        <v>3</v>
      </c>
      <c r="P932" s="208" t="s">
        <v>112</v>
      </c>
      <c r="Q932" s="240">
        <f t="shared" si="308"/>
        <v>3</v>
      </c>
      <c r="R932" s="239">
        <v>1</v>
      </c>
      <c r="S932" s="240">
        <f t="shared" si="309"/>
        <v>4</v>
      </c>
      <c r="T932" s="216" t="s">
        <v>48</v>
      </c>
      <c r="U932" s="196" t="str">
        <f t="shared" si="307"/>
        <v>4 Hrs</v>
      </c>
    </row>
    <row r="933" spans="3:21" s="185" customFormat="1" ht="20.25" customHeight="1">
      <c r="C933" s="198"/>
      <c r="D933" s="203">
        <f t="shared" si="291"/>
        <v>933</v>
      </c>
      <c r="E933" s="207" t="s">
        <v>314</v>
      </c>
      <c r="F933" s="211">
        <f t="shared" si="315"/>
        <v>932</v>
      </c>
      <c r="G933" s="206" t="s">
        <v>286</v>
      </c>
      <c r="H933" s="206"/>
      <c r="I933" s="233">
        <f>I929</f>
        <v>18</v>
      </c>
      <c r="J933" s="211" t="str">
        <f>J928</f>
        <v>1250 mm</v>
      </c>
      <c r="K933" s="234">
        <v>1</v>
      </c>
      <c r="L933" s="208" t="s">
        <v>81</v>
      </c>
      <c r="M933" s="235">
        <f>K933</f>
        <v>1</v>
      </c>
      <c r="N933" s="208" t="s">
        <v>39</v>
      </c>
      <c r="O933" s="246">
        <f>O932</f>
        <v>3</v>
      </c>
      <c r="P933" s="208" t="s">
        <v>112</v>
      </c>
      <c r="Q933" s="240">
        <f t="shared" si="308"/>
        <v>3</v>
      </c>
      <c r="R933" s="239">
        <v>1</v>
      </c>
      <c r="S933" s="240">
        <f t="shared" si="309"/>
        <v>4</v>
      </c>
      <c r="T933" s="216" t="s">
        <v>48</v>
      </c>
      <c r="U933" s="196" t="str">
        <f t="shared" si="307"/>
        <v>4 Hrs</v>
      </c>
    </row>
    <row r="934" spans="3:21" s="185" customFormat="1" ht="20.25" customHeight="1">
      <c r="C934" s="198"/>
      <c r="D934" s="203">
        <f t="shared" si="291"/>
        <v>934</v>
      </c>
      <c r="E934" s="207" t="s">
        <v>314</v>
      </c>
      <c r="F934" s="211">
        <f t="shared" si="315"/>
        <v>933</v>
      </c>
      <c r="G934" s="206" t="s">
        <v>286</v>
      </c>
      <c r="H934" s="206"/>
      <c r="I934" s="233">
        <f>I929</f>
        <v>18</v>
      </c>
      <c r="J934" s="211" t="str">
        <f>J929</f>
        <v>0 mm</v>
      </c>
      <c r="K934" s="234">
        <v>1</v>
      </c>
      <c r="L934" s="208" t="s">
        <v>81</v>
      </c>
      <c r="M934" s="235">
        <f>K934</f>
        <v>1</v>
      </c>
      <c r="N934" s="208" t="s">
        <v>39</v>
      </c>
      <c r="O934" s="246">
        <f>O933</f>
        <v>3</v>
      </c>
      <c r="P934" s="208" t="s">
        <v>112</v>
      </c>
      <c r="Q934" s="240">
        <f t="shared" si="308"/>
        <v>3</v>
      </c>
      <c r="R934" s="239">
        <v>1</v>
      </c>
      <c r="S934" s="240">
        <f t="shared" si="309"/>
        <v>4</v>
      </c>
      <c r="T934" s="216" t="s">
        <v>48</v>
      </c>
      <c r="U934" s="196" t="str">
        <f t="shared" si="307"/>
        <v>4 Hrs</v>
      </c>
    </row>
    <row r="935" spans="3:21" s="185" customFormat="1" ht="20.25" customHeight="1">
      <c r="C935" s="198">
        <f>D935</f>
        <v>935</v>
      </c>
      <c r="D935" s="203">
        <f t="shared" si="291"/>
        <v>935</v>
      </c>
      <c r="E935" s="204" t="s">
        <v>315</v>
      </c>
      <c r="F935" s="210">
        <f>D930</f>
        <v>930</v>
      </c>
      <c r="G935" s="206"/>
      <c r="H935" s="206"/>
      <c r="I935" s="208"/>
      <c r="J935" s="208"/>
      <c r="K935" s="234"/>
      <c r="L935" s="208"/>
      <c r="M935" s="217"/>
      <c r="N935" s="208"/>
      <c r="O935" s="218"/>
      <c r="P935" s="208"/>
      <c r="Q935" s="240"/>
      <c r="R935" s="239"/>
      <c r="S935" s="240"/>
      <c r="T935" s="216"/>
      <c r="U935" s="196"/>
    </row>
    <row r="936" spans="3:21" s="185" customFormat="1" ht="20.25" customHeight="1">
      <c r="C936" s="198"/>
      <c r="D936" s="203">
        <f t="shared" si="291"/>
        <v>936</v>
      </c>
      <c r="E936" s="207" t="s">
        <v>316</v>
      </c>
      <c r="F936" s="211"/>
      <c r="G936" s="206" t="s">
        <v>44</v>
      </c>
      <c r="H936" s="206"/>
      <c r="I936" s="224">
        <v>18</v>
      </c>
      <c r="J936" s="225" t="s">
        <v>317</v>
      </c>
      <c r="K936" s="234">
        <v>1</v>
      </c>
      <c r="L936" s="208" t="s">
        <v>81</v>
      </c>
      <c r="M936" s="227">
        <f>LEFT(J936,SEARCH(" ",J936,1)-1)*3.142*K936*0.001</f>
        <v>4.9015199999999997</v>
      </c>
      <c r="N936" s="208" t="s">
        <v>139</v>
      </c>
      <c r="O936" s="246">
        <f>VLOOKUP(I936,BM!$A$2:$X$104,10,FALSE)</f>
        <v>1</v>
      </c>
      <c r="P936" s="208" t="s">
        <v>112</v>
      </c>
      <c r="Q936" s="240">
        <f t="shared" ref="Q936:Q939" si="316">M936*O936</f>
        <v>4.9015199999999997</v>
      </c>
      <c r="R936" s="239">
        <v>1</v>
      </c>
      <c r="S936" s="240">
        <f t="shared" si="309"/>
        <v>5.9</v>
      </c>
      <c r="T936" s="216" t="s">
        <v>48</v>
      </c>
      <c r="U936" s="196" t="str">
        <f t="shared" si="307"/>
        <v>5.9 Hrs</v>
      </c>
    </row>
    <row r="937" spans="3:21" s="185" customFormat="1" ht="20.25" customHeight="1">
      <c r="C937" s="198"/>
      <c r="D937" s="203">
        <f t="shared" si="291"/>
        <v>937</v>
      </c>
      <c r="E937" s="207" t="s">
        <v>316</v>
      </c>
      <c r="F937" s="211">
        <f t="shared" ref="F937:F939" si="317">D936</f>
        <v>936</v>
      </c>
      <c r="G937" s="206" t="s">
        <v>44</v>
      </c>
      <c r="H937" s="206"/>
      <c r="I937" s="224">
        <v>18</v>
      </c>
      <c r="J937" s="211" t="str">
        <f>J936</f>
        <v>1560 mm id</v>
      </c>
      <c r="K937" s="234">
        <v>1</v>
      </c>
      <c r="L937" s="208" t="s">
        <v>81</v>
      </c>
      <c r="M937" s="227">
        <f t="shared" ref="M937:M939" si="318">LEFT(J937,SEARCH(" ",J937,1)-1)*3.142*K937*0.001</f>
        <v>4.9015199999999997</v>
      </c>
      <c r="N937" s="208" t="s">
        <v>139</v>
      </c>
      <c r="O937" s="246">
        <f>VLOOKUP(I937,BM!$A$2:$X$104,10,FALSE)</f>
        <v>1</v>
      </c>
      <c r="P937" s="208" t="s">
        <v>112</v>
      </c>
      <c r="Q937" s="240">
        <f t="shared" si="316"/>
        <v>4.9015199999999997</v>
      </c>
      <c r="R937" s="239">
        <v>1</v>
      </c>
      <c r="S937" s="240">
        <f t="shared" si="309"/>
        <v>5.9</v>
      </c>
      <c r="T937" s="216" t="s">
        <v>48</v>
      </c>
      <c r="U937" s="196" t="str">
        <f t="shared" si="307"/>
        <v>5.9 Hrs</v>
      </c>
    </row>
    <row r="938" spans="3:21" s="185" customFormat="1" ht="20.25" customHeight="1">
      <c r="C938" s="198"/>
      <c r="D938" s="203">
        <f t="shared" si="291"/>
        <v>938</v>
      </c>
      <c r="E938" s="207" t="s">
        <v>316</v>
      </c>
      <c r="F938" s="211">
        <f t="shared" si="317"/>
        <v>937</v>
      </c>
      <c r="G938" s="206" t="s">
        <v>44</v>
      </c>
      <c r="H938" s="206"/>
      <c r="I938" s="224">
        <v>18</v>
      </c>
      <c r="J938" s="211" t="str">
        <f>J937</f>
        <v>1560 mm id</v>
      </c>
      <c r="K938" s="234">
        <v>1</v>
      </c>
      <c r="L938" s="208" t="s">
        <v>81</v>
      </c>
      <c r="M938" s="227">
        <f t="shared" si="318"/>
        <v>4.9015199999999997</v>
      </c>
      <c r="N938" s="208" t="s">
        <v>139</v>
      </c>
      <c r="O938" s="246">
        <f>VLOOKUP(I938,BM!$A$2:$X$104,10,FALSE)</f>
        <v>1</v>
      </c>
      <c r="P938" s="208" t="s">
        <v>112</v>
      </c>
      <c r="Q938" s="240">
        <f t="shared" si="316"/>
        <v>4.9015199999999997</v>
      </c>
      <c r="R938" s="239">
        <v>1</v>
      </c>
      <c r="S938" s="240">
        <f t="shared" si="309"/>
        <v>5.9</v>
      </c>
      <c r="T938" s="216" t="s">
        <v>48</v>
      </c>
      <c r="U938" s="196" t="str">
        <f t="shared" si="307"/>
        <v>5.9 Hrs</v>
      </c>
    </row>
    <row r="939" spans="3:21" s="185" customFormat="1" ht="20.25" customHeight="1">
      <c r="C939" s="198"/>
      <c r="D939" s="203">
        <f t="shared" si="291"/>
        <v>939</v>
      </c>
      <c r="E939" s="207" t="s">
        <v>316</v>
      </c>
      <c r="F939" s="211">
        <f t="shared" si="317"/>
        <v>938</v>
      </c>
      <c r="G939" s="206" t="s">
        <v>44</v>
      </c>
      <c r="H939" s="206"/>
      <c r="I939" s="224">
        <v>18</v>
      </c>
      <c r="J939" s="211" t="s">
        <v>318</v>
      </c>
      <c r="K939" s="234">
        <v>1</v>
      </c>
      <c r="L939" s="208" t="s">
        <v>81</v>
      </c>
      <c r="M939" s="227">
        <f t="shared" si="318"/>
        <v>0</v>
      </c>
      <c r="N939" s="208" t="s">
        <v>139</v>
      </c>
      <c r="O939" s="246">
        <f>VLOOKUP(I939,BM!$A$2:$X$104,10,FALSE)</f>
        <v>1</v>
      </c>
      <c r="P939" s="208" t="s">
        <v>112</v>
      </c>
      <c r="Q939" s="240">
        <f t="shared" si="316"/>
        <v>0</v>
      </c>
      <c r="R939" s="239">
        <v>1</v>
      </c>
      <c r="S939" s="240">
        <f t="shared" si="309"/>
        <v>1</v>
      </c>
      <c r="T939" s="216" t="s">
        <v>48</v>
      </c>
      <c r="U939" s="196" t="str">
        <f t="shared" si="307"/>
        <v>1 Hrs</v>
      </c>
    </row>
    <row r="940" spans="3:21" s="185" customFormat="1" ht="20.25" customHeight="1">
      <c r="C940" s="198">
        <f>D940</f>
        <v>940</v>
      </c>
      <c r="D940" s="203">
        <f t="shared" si="291"/>
        <v>940</v>
      </c>
      <c r="E940" s="204" t="s">
        <v>319</v>
      </c>
      <c r="F940" s="210">
        <f>D935</f>
        <v>935</v>
      </c>
      <c r="G940" s="206"/>
      <c r="H940" s="206"/>
      <c r="I940" s="208"/>
      <c r="J940" s="208"/>
      <c r="K940" s="234"/>
      <c r="L940" s="208"/>
      <c r="M940" s="217"/>
      <c r="N940" s="208"/>
      <c r="O940" s="218"/>
      <c r="P940" s="208"/>
      <c r="Q940" s="240"/>
      <c r="R940" s="239"/>
      <c r="S940" s="240"/>
      <c r="T940" s="216"/>
      <c r="U940" s="196"/>
    </row>
    <row r="941" spans="3:21" s="185" customFormat="1" ht="20.25" customHeight="1">
      <c r="C941" s="198"/>
      <c r="D941" s="203">
        <f t="shared" si="291"/>
        <v>941</v>
      </c>
      <c r="E941" s="207" t="s">
        <v>320</v>
      </c>
      <c r="F941" s="211"/>
      <c r="G941" s="206" t="s">
        <v>299</v>
      </c>
      <c r="H941" s="206"/>
      <c r="I941" s="224">
        <v>18</v>
      </c>
      <c r="J941" s="211" t="str">
        <f>J938</f>
        <v>1560 mm id</v>
      </c>
      <c r="K941" s="234">
        <v>1</v>
      </c>
      <c r="L941" s="208" t="s">
        <v>81</v>
      </c>
      <c r="M941" s="227">
        <f t="shared" ref="M941:M942" si="319">LEFT(J941,SEARCH(" ",J941,1)-1)*3.142*K941*0.001</f>
        <v>4.9015199999999997</v>
      </c>
      <c r="N941" s="208" t="s">
        <v>139</v>
      </c>
      <c r="O941" s="246">
        <f>VLOOKUP(I941,BM!$A$2:$X$104,10,FALSE)</f>
        <v>1</v>
      </c>
      <c r="P941" s="208" t="s">
        <v>112</v>
      </c>
      <c r="Q941" s="240">
        <f t="shared" ref="Q941:Q942" si="320">M941*O941</f>
        <v>4.9015199999999997</v>
      </c>
      <c r="R941" s="239">
        <v>1</v>
      </c>
      <c r="S941" s="240">
        <f t="shared" si="309"/>
        <v>5.9</v>
      </c>
      <c r="T941" s="216" t="s">
        <v>48</v>
      </c>
      <c r="U941" s="196" t="str">
        <f t="shared" si="307"/>
        <v>5.9 Hrs</v>
      </c>
    </row>
    <row r="942" spans="3:21" s="185" customFormat="1" ht="20.25" customHeight="1">
      <c r="C942" s="198"/>
      <c r="D942" s="203">
        <f t="shared" si="291"/>
        <v>942</v>
      </c>
      <c r="E942" s="207" t="s">
        <v>321</v>
      </c>
      <c r="F942" s="211">
        <f t="shared" ref="F942" si="321">D941</f>
        <v>941</v>
      </c>
      <c r="G942" s="206" t="s">
        <v>44</v>
      </c>
      <c r="H942" s="206"/>
      <c r="I942" s="224">
        <v>18</v>
      </c>
      <c r="J942" s="211" t="str">
        <f t="shared" ref="J942" si="322">J941</f>
        <v>1560 mm id</v>
      </c>
      <c r="K942" s="234">
        <v>1</v>
      </c>
      <c r="L942" s="208" t="s">
        <v>81</v>
      </c>
      <c r="M942" s="227">
        <f t="shared" si="319"/>
        <v>4.9015199999999997</v>
      </c>
      <c r="N942" s="208" t="s">
        <v>139</v>
      </c>
      <c r="O942" s="218">
        <v>1</v>
      </c>
      <c r="P942" s="208" t="s">
        <v>112</v>
      </c>
      <c r="Q942" s="240">
        <f t="shared" si="320"/>
        <v>4.9015199999999997</v>
      </c>
      <c r="R942" s="239">
        <v>1</v>
      </c>
      <c r="S942" s="240">
        <f t="shared" si="309"/>
        <v>5.9</v>
      </c>
      <c r="T942" s="216" t="s">
        <v>48</v>
      </c>
      <c r="U942" s="196" t="str">
        <f t="shared" si="307"/>
        <v>5.9 Hrs</v>
      </c>
    </row>
    <row r="943" spans="3:21" s="185" customFormat="1" ht="20.25" customHeight="1">
      <c r="C943" s="198">
        <f>D943</f>
        <v>943</v>
      </c>
      <c r="D943" s="203">
        <f t="shared" si="291"/>
        <v>943</v>
      </c>
      <c r="E943" s="204" t="s">
        <v>322</v>
      </c>
      <c r="F943" s="210">
        <f>D940</f>
        <v>940</v>
      </c>
      <c r="G943" s="206"/>
      <c r="H943" s="206"/>
      <c r="I943" s="208"/>
      <c r="J943" s="208"/>
      <c r="K943" s="234"/>
      <c r="L943" s="208"/>
      <c r="M943" s="217"/>
      <c r="N943" s="208"/>
      <c r="O943" s="218"/>
      <c r="P943" s="208"/>
      <c r="Q943" s="240"/>
      <c r="R943" s="239"/>
      <c r="S943" s="240"/>
      <c r="T943" s="216"/>
      <c r="U943" s="196"/>
    </row>
    <row r="944" spans="3:21" s="185" customFormat="1" ht="20.25" customHeight="1">
      <c r="C944" s="198"/>
      <c r="D944" s="203">
        <f t="shared" si="291"/>
        <v>944</v>
      </c>
      <c r="E944" s="207" t="s">
        <v>323</v>
      </c>
      <c r="F944" s="211"/>
      <c r="G944" s="206" t="s">
        <v>44</v>
      </c>
      <c r="H944" s="206"/>
      <c r="I944" s="224">
        <v>18</v>
      </c>
      <c r="J944" s="208" t="str">
        <f>J942</f>
        <v>1560 mm id</v>
      </c>
      <c r="K944" s="234">
        <v>1</v>
      </c>
      <c r="L944" s="208" t="s">
        <v>81</v>
      </c>
      <c r="M944" s="217">
        <v>1</v>
      </c>
      <c r="N944" s="208" t="s">
        <v>81</v>
      </c>
      <c r="O944" s="218">
        <v>1</v>
      </c>
      <c r="P944" s="208" t="s">
        <v>112</v>
      </c>
      <c r="Q944" s="240">
        <f t="shared" ref="Q944:Q948" si="323">M944*O944</f>
        <v>1</v>
      </c>
      <c r="R944" s="239">
        <v>1</v>
      </c>
      <c r="S944" s="240">
        <f t="shared" si="309"/>
        <v>2</v>
      </c>
      <c r="T944" s="216" t="s">
        <v>48</v>
      </c>
      <c r="U944" s="196" t="str">
        <f t="shared" si="307"/>
        <v>2 Hrs</v>
      </c>
    </row>
    <row r="945" spans="3:21" s="185" customFormat="1" ht="20.25" customHeight="1">
      <c r="C945" s="198"/>
      <c r="D945" s="203">
        <f t="shared" si="291"/>
        <v>945</v>
      </c>
      <c r="E945" s="207" t="s">
        <v>324</v>
      </c>
      <c r="F945" s="211">
        <f t="shared" ref="F945:F948" si="324">D944</f>
        <v>944</v>
      </c>
      <c r="G945" s="206" t="s">
        <v>115</v>
      </c>
      <c r="H945" s="206"/>
      <c r="I945" s="233">
        <f>12</f>
        <v>12</v>
      </c>
      <c r="J945" s="208" t="str">
        <f>J944</f>
        <v>1560 mm id</v>
      </c>
      <c r="K945" s="234">
        <v>1</v>
      </c>
      <c r="L945" s="208" t="s">
        <v>81</v>
      </c>
      <c r="M945" s="227">
        <f t="shared" ref="M945:M948" si="325">LEFT(J945,SEARCH(" ",J945,1)-1)*3.142*K945*0.001</f>
        <v>4.9015199999999997</v>
      </c>
      <c r="N945" s="208" t="s">
        <v>139</v>
      </c>
      <c r="O945" s="246">
        <f>VLOOKUP(I945,BM!$A$2:$X$104,17,FALSE)</f>
        <v>2.5</v>
      </c>
      <c r="P945" s="208" t="s">
        <v>112</v>
      </c>
      <c r="Q945" s="240">
        <f t="shared" si="323"/>
        <v>12.253799999999998</v>
      </c>
      <c r="R945" s="239">
        <v>1</v>
      </c>
      <c r="S945" s="240">
        <f t="shared" si="309"/>
        <v>13.25</v>
      </c>
      <c r="T945" s="216" t="s">
        <v>48</v>
      </c>
      <c r="U945" s="196" t="str">
        <f t="shared" si="307"/>
        <v>13.25 Hrs</v>
      </c>
    </row>
    <row r="946" spans="3:21" s="185" customFormat="1" ht="20.25" customHeight="1">
      <c r="C946" s="198"/>
      <c r="D946" s="203">
        <f t="shared" si="291"/>
        <v>946</v>
      </c>
      <c r="E946" s="207" t="s">
        <v>325</v>
      </c>
      <c r="F946" s="211">
        <f t="shared" si="324"/>
        <v>945</v>
      </c>
      <c r="G946" s="206" t="s">
        <v>61</v>
      </c>
      <c r="H946" s="206"/>
      <c r="I946" s="233">
        <f>18</f>
        <v>18</v>
      </c>
      <c r="J946" s="208" t="str">
        <f>J945</f>
        <v>1560 mm id</v>
      </c>
      <c r="K946" s="234">
        <v>1</v>
      </c>
      <c r="L946" s="208" t="s">
        <v>81</v>
      </c>
      <c r="M946" s="227">
        <f t="shared" si="325"/>
        <v>4.9015199999999997</v>
      </c>
      <c r="N946" s="208" t="s">
        <v>139</v>
      </c>
      <c r="O946" s="246">
        <f>VLOOKUP(I946,BM!$A$2:$X$104,18,FALSE)</f>
        <v>1</v>
      </c>
      <c r="P946" s="208" t="s">
        <v>112</v>
      </c>
      <c r="Q946" s="240">
        <f t="shared" si="323"/>
        <v>4.9015199999999997</v>
      </c>
      <c r="R946" s="239">
        <v>1</v>
      </c>
      <c r="S946" s="240">
        <f t="shared" si="309"/>
        <v>5.9</v>
      </c>
      <c r="T946" s="216" t="s">
        <v>48</v>
      </c>
      <c r="U946" s="196" t="str">
        <f t="shared" si="307"/>
        <v>5.9 Hrs</v>
      </c>
    </row>
    <row r="947" spans="3:21" s="185" customFormat="1" ht="20.25" customHeight="1">
      <c r="C947" s="198"/>
      <c r="D947" s="203">
        <f t="shared" si="291"/>
        <v>947</v>
      </c>
      <c r="E947" s="207" t="s">
        <v>326</v>
      </c>
      <c r="F947" s="211">
        <f t="shared" si="324"/>
        <v>946</v>
      </c>
      <c r="G947" s="206" t="s">
        <v>115</v>
      </c>
      <c r="H947" s="206"/>
      <c r="I947" s="224">
        <v>6</v>
      </c>
      <c r="J947" s="208" t="str">
        <f>J946</f>
        <v>1560 mm id</v>
      </c>
      <c r="K947" s="234">
        <v>1</v>
      </c>
      <c r="L947" s="208" t="s">
        <v>81</v>
      </c>
      <c r="M947" s="227">
        <f t="shared" si="325"/>
        <v>4.9015199999999997</v>
      </c>
      <c r="N947" s="208" t="s">
        <v>139</v>
      </c>
      <c r="O947" s="246">
        <f>VLOOKUP(I947,BM!$A$2:$X$104,17,FALSE)</f>
        <v>0.9</v>
      </c>
      <c r="P947" s="208" t="s">
        <v>112</v>
      </c>
      <c r="Q947" s="240">
        <f t="shared" si="323"/>
        <v>4.4113679999999995</v>
      </c>
      <c r="R947" s="239">
        <v>1</v>
      </c>
      <c r="S947" s="240">
        <f t="shared" si="309"/>
        <v>5.41</v>
      </c>
      <c r="T947" s="216" t="s">
        <v>48</v>
      </c>
      <c r="U947" s="196" t="str">
        <f t="shared" si="307"/>
        <v>5.41 Hrs</v>
      </c>
    </row>
    <row r="948" spans="3:21" s="185" customFormat="1" ht="20.25" customHeight="1">
      <c r="C948" s="198"/>
      <c r="D948" s="203">
        <f t="shared" si="291"/>
        <v>948</v>
      </c>
      <c r="E948" s="207" t="s">
        <v>327</v>
      </c>
      <c r="F948" s="211">
        <f t="shared" si="324"/>
        <v>947</v>
      </c>
      <c r="G948" s="206" t="s">
        <v>61</v>
      </c>
      <c r="H948" s="206"/>
      <c r="I948" s="224">
        <v>18</v>
      </c>
      <c r="J948" s="208" t="str">
        <f>J947</f>
        <v>1560 mm id</v>
      </c>
      <c r="K948" s="234">
        <v>1</v>
      </c>
      <c r="L948" s="208" t="s">
        <v>81</v>
      </c>
      <c r="M948" s="227">
        <f t="shared" si="325"/>
        <v>4.9015199999999997</v>
      </c>
      <c r="N948" s="208" t="s">
        <v>139</v>
      </c>
      <c r="O948" s="246">
        <f>VLOOKUP(I948,BM!$A$2:$X$104,20,FALSE)</f>
        <v>0.5</v>
      </c>
      <c r="P948" s="208" t="s">
        <v>112</v>
      </c>
      <c r="Q948" s="240">
        <f t="shared" si="323"/>
        <v>2.4507599999999998</v>
      </c>
      <c r="R948" s="239">
        <v>1</v>
      </c>
      <c r="S948" s="240">
        <f t="shared" si="309"/>
        <v>3.45</v>
      </c>
      <c r="T948" s="216" t="s">
        <v>48</v>
      </c>
      <c r="U948" s="196" t="str">
        <f t="shared" si="307"/>
        <v>3.45 Hrs</v>
      </c>
    </row>
    <row r="949" spans="3:21" s="185" customFormat="1" ht="20.25" customHeight="1">
      <c r="C949" s="198">
        <f>D949</f>
        <v>949</v>
      </c>
      <c r="D949" s="203">
        <f t="shared" si="291"/>
        <v>949</v>
      </c>
      <c r="E949" s="204" t="s">
        <v>328</v>
      </c>
      <c r="F949" s="210">
        <f>D943</f>
        <v>943</v>
      </c>
      <c r="G949" s="206"/>
      <c r="H949" s="206"/>
      <c r="I949" s="208"/>
      <c r="J949" s="208"/>
      <c r="K949" s="234"/>
      <c r="L949" s="208"/>
      <c r="M949" s="217"/>
      <c r="N949" s="208"/>
      <c r="O949" s="218"/>
      <c r="P949" s="208"/>
      <c r="Q949" s="240"/>
      <c r="R949" s="239"/>
      <c r="S949" s="240"/>
      <c r="T949" s="216"/>
      <c r="U949" s="196"/>
    </row>
    <row r="950" spans="3:21" s="185" customFormat="1" ht="20.25" customHeight="1">
      <c r="C950" s="198"/>
      <c r="D950" s="203">
        <f t="shared" si="291"/>
        <v>950</v>
      </c>
      <c r="E950" s="207" t="s">
        <v>329</v>
      </c>
      <c r="F950" s="211"/>
      <c r="G950" s="206" t="s">
        <v>299</v>
      </c>
      <c r="H950" s="206"/>
      <c r="I950" s="224">
        <v>18</v>
      </c>
      <c r="J950" s="208" t="str">
        <f>J948</f>
        <v>1560 mm id</v>
      </c>
      <c r="K950" s="234">
        <v>1</v>
      </c>
      <c r="L950" s="208" t="s">
        <v>81</v>
      </c>
      <c r="M950" s="227">
        <f t="shared" ref="M950:M951" si="326">LEFT(J950,SEARCH(" ",J950,1)-1)*3.142*K950*0.001</f>
        <v>4.9015199999999997</v>
      </c>
      <c r="N950" s="208" t="s">
        <v>139</v>
      </c>
      <c r="O950" s="246">
        <f>VLOOKUP(I950,BM!$A$2:$X$104,10,FALSE)</f>
        <v>1</v>
      </c>
      <c r="P950" s="208" t="s">
        <v>112</v>
      </c>
      <c r="Q950" s="240">
        <f t="shared" ref="Q950:Q957" si="327">M950*O950</f>
        <v>4.9015199999999997</v>
      </c>
      <c r="R950" s="239">
        <v>1</v>
      </c>
      <c r="S950" s="240">
        <f t="shared" si="309"/>
        <v>5.9</v>
      </c>
      <c r="T950" s="216" t="s">
        <v>48</v>
      </c>
      <c r="U950" s="196" t="str">
        <f t="shared" si="307"/>
        <v>5.9 Hrs</v>
      </c>
    </row>
    <row r="951" spans="3:21" s="185" customFormat="1" ht="20.25" customHeight="1">
      <c r="C951" s="198"/>
      <c r="D951" s="203">
        <f t="shared" si="291"/>
        <v>951</v>
      </c>
      <c r="E951" s="207" t="s">
        <v>330</v>
      </c>
      <c r="F951" s="211">
        <f t="shared" ref="F951" si="328">D950</f>
        <v>950</v>
      </c>
      <c r="G951" s="206" t="s">
        <v>44</v>
      </c>
      <c r="H951" s="206"/>
      <c r="I951" s="224">
        <v>18</v>
      </c>
      <c r="J951" s="208" t="str">
        <f>J948</f>
        <v>1560 mm id</v>
      </c>
      <c r="K951" s="234">
        <v>1</v>
      </c>
      <c r="L951" s="208" t="s">
        <v>81</v>
      </c>
      <c r="M951" s="227">
        <f t="shared" si="326"/>
        <v>4.9015199999999997</v>
      </c>
      <c r="N951" s="208" t="s">
        <v>139</v>
      </c>
      <c r="O951" s="218">
        <v>1</v>
      </c>
      <c r="P951" s="208" t="s">
        <v>112</v>
      </c>
      <c r="Q951" s="240">
        <f t="shared" si="327"/>
        <v>4.9015199999999997</v>
      </c>
      <c r="R951" s="239">
        <v>1</v>
      </c>
      <c r="S951" s="240">
        <f t="shared" si="309"/>
        <v>5.9</v>
      </c>
      <c r="T951" s="216" t="s">
        <v>48</v>
      </c>
      <c r="U951" s="196" t="str">
        <f t="shared" si="307"/>
        <v>5.9 Hrs</v>
      </c>
    </row>
    <row r="952" spans="3:21" s="185" customFormat="1" ht="20.25" customHeight="1">
      <c r="C952" s="198">
        <f>D952</f>
        <v>952</v>
      </c>
      <c r="D952" s="203">
        <f t="shared" si="291"/>
        <v>952</v>
      </c>
      <c r="E952" s="204" t="s">
        <v>331</v>
      </c>
      <c r="F952" s="210">
        <f>D949</f>
        <v>949</v>
      </c>
      <c r="G952" s="206"/>
      <c r="H952" s="206"/>
      <c r="I952" s="208"/>
      <c r="J952" s="208"/>
      <c r="K952" s="234"/>
      <c r="L952" s="208"/>
      <c r="M952" s="217"/>
      <c r="N952" s="208"/>
      <c r="O952" s="218"/>
      <c r="P952" s="208"/>
      <c r="Q952" s="240">
        <f t="shared" si="327"/>
        <v>0</v>
      </c>
      <c r="R952" s="239"/>
      <c r="S952" s="240"/>
      <c r="T952" s="216"/>
      <c r="U952" s="196"/>
    </row>
    <row r="953" spans="3:21" s="185" customFormat="1" ht="20.25" customHeight="1">
      <c r="C953" s="198"/>
      <c r="D953" s="203">
        <f t="shared" si="291"/>
        <v>953</v>
      </c>
      <c r="E953" s="207" t="s">
        <v>332</v>
      </c>
      <c r="F953" s="211"/>
      <c r="G953" s="206" t="s">
        <v>44</v>
      </c>
      <c r="H953" s="206"/>
      <c r="I953" s="224">
        <v>18</v>
      </c>
      <c r="J953" s="208" t="str">
        <f>J948</f>
        <v>1560 mm id</v>
      </c>
      <c r="K953" s="234">
        <v>1</v>
      </c>
      <c r="L953" s="208" t="s">
        <v>81</v>
      </c>
      <c r="M953" s="217">
        <v>1</v>
      </c>
      <c r="N953" s="208" t="s">
        <v>139</v>
      </c>
      <c r="O953" s="218">
        <v>1</v>
      </c>
      <c r="P953" s="208" t="s">
        <v>112</v>
      </c>
      <c r="Q953" s="240">
        <f t="shared" si="327"/>
        <v>1</v>
      </c>
      <c r="R953" s="239">
        <v>1</v>
      </c>
      <c r="S953" s="240">
        <f t="shared" si="309"/>
        <v>2</v>
      </c>
      <c r="T953" s="216" t="s">
        <v>48</v>
      </c>
      <c r="U953" s="196" t="str">
        <f t="shared" si="307"/>
        <v>2 Hrs</v>
      </c>
    </row>
    <row r="954" spans="3:21" s="185" customFormat="1" ht="20.25" customHeight="1">
      <c r="C954" s="198"/>
      <c r="D954" s="203">
        <f t="shared" si="291"/>
        <v>954</v>
      </c>
      <c r="E954" s="207" t="s">
        <v>333</v>
      </c>
      <c r="F954" s="211">
        <f t="shared" ref="F954:F957" si="329">D953</f>
        <v>953</v>
      </c>
      <c r="G954" s="206" t="s">
        <v>115</v>
      </c>
      <c r="H954" s="206"/>
      <c r="I954" s="233">
        <f>12</f>
        <v>12</v>
      </c>
      <c r="J954" s="208" t="str">
        <f>J951</f>
        <v>1560 mm id</v>
      </c>
      <c r="K954" s="234">
        <v>1</v>
      </c>
      <c r="L954" s="208" t="s">
        <v>81</v>
      </c>
      <c r="M954" s="227">
        <f t="shared" ref="M954:M957" si="330">LEFT(J954,SEARCH(" ",J954,1)-1)*3.142*K954*0.001</f>
        <v>4.9015199999999997</v>
      </c>
      <c r="N954" s="208" t="s">
        <v>139</v>
      </c>
      <c r="O954" s="246">
        <f>VLOOKUP(I954,BM!$A$2:$X$104,17,FALSE)</f>
        <v>2.5</v>
      </c>
      <c r="P954" s="208" t="s">
        <v>112</v>
      </c>
      <c r="Q954" s="240">
        <f t="shared" si="327"/>
        <v>12.253799999999998</v>
      </c>
      <c r="R954" s="239">
        <v>1</v>
      </c>
      <c r="S954" s="240">
        <f t="shared" si="309"/>
        <v>13.25</v>
      </c>
      <c r="T954" s="216" t="s">
        <v>48</v>
      </c>
      <c r="U954" s="196" t="str">
        <f t="shared" si="307"/>
        <v>13.25 Hrs</v>
      </c>
    </row>
    <row r="955" spans="3:21" s="185" customFormat="1" ht="20.25" customHeight="1">
      <c r="C955" s="198"/>
      <c r="D955" s="203">
        <f t="shared" si="291"/>
        <v>955</v>
      </c>
      <c r="E955" s="207" t="s">
        <v>334</v>
      </c>
      <c r="F955" s="211">
        <f t="shared" si="329"/>
        <v>954</v>
      </c>
      <c r="G955" s="206" t="s">
        <v>61</v>
      </c>
      <c r="H955" s="206"/>
      <c r="I955" s="233">
        <f>18</f>
        <v>18</v>
      </c>
      <c r="J955" s="208" t="str">
        <f>J954</f>
        <v>1560 mm id</v>
      </c>
      <c r="K955" s="234">
        <v>1</v>
      </c>
      <c r="L955" s="208" t="s">
        <v>81</v>
      </c>
      <c r="M955" s="227">
        <f t="shared" si="330"/>
        <v>4.9015199999999997</v>
      </c>
      <c r="N955" s="208" t="s">
        <v>139</v>
      </c>
      <c r="O955" s="246">
        <f>VLOOKUP(I955,BM!$A$2:$X$104,18,FALSE)</f>
        <v>1</v>
      </c>
      <c r="P955" s="208" t="s">
        <v>112</v>
      </c>
      <c r="Q955" s="240">
        <f t="shared" si="327"/>
        <v>4.9015199999999997</v>
      </c>
      <c r="R955" s="239">
        <v>1</v>
      </c>
      <c r="S955" s="240">
        <f t="shared" si="309"/>
        <v>5.9</v>
      </c>
      <c r="T955" s="216" t="s">
        <v>48</v>
      </c>
      <c r="U955" s="196" t="str">
        <f t="shared" si="307"/>
        <v>5.9 Hrs</v>
      </c>
    </row>
    <row r="956" spans="3:21" s="185" customFormat="1" ht="20.25" customHeight="1">
      <c r="C956" s="198"/>
      <c r="D956" s="203">
        <f t="shared" si="291"/>
        <v>956</v>
      </c>
      <c r="E956" s="207" t="s">
        <v>335</v>
      </c>
      <c r="F956" s="211">
        <f t="shared" si="329"/>
        <v>955</v>
      </c>
      <c r="G956" s="206" t="s">
        <v>115</v>
      </c>
      <c r="H956" s="206"/>
      <c r="I956" s="224">
        <v>6</v>
      </c>
      <c r="J956" s="208" t="str">
        <f>J955</f>
        <v>1560 mm id</v>
      </c>
      <c r="K956" s="234">
        <v>1</v>
      </c>
      <c r="L956" s="208" t="s">
        <v>81</v>
      </c>
      <c r="M956" s="227">
        <f t="shared" si="330"/>
        <v>4.9015199999999997</v>
      </c>
      <c r="N956" s="208" t="s">
        <v>139</v>
      </c>
      <c r="O956" s="246">
        <f>VLOOKUP(I956,BM!$A$2:$X$104,17,FALSE)</f>
        <v>0.9</v>
      </c>
      <c r="P956" s="208" t="s">
        <v>112</v>
      </c>
      <c r="Q956" s="240">
        <f t="shared" si="327"/>
        <v>4.4113679999999995</v>
      </c>
      <c r="R956" s="239">
        <v>1</v>
      </c>
      <c r="S956" s="240">
        <f t="shared" si="309"/>
        <v>5.41</v>
      </c>
      <c r="T956" s="216" t="s">
        <v>48</v>
      </c>
      <c r="U956" s="196" t="str">
        <f t="shared" si="307"/>
        <v>5.41 Hrs</v>
      </c>
    </row>
    <row r="957" spans="3:21" s="185" customFormat="1" ht="20.25" customHeight="1">
      <c r="C957" s="198"/>
      <c r="D957" s="203">
        <f t="shared" si="291"/>
        <v>957</v>
      </c>
      <c r="E957" s="207" t="s">
        <v>336</v>
      </c>
      <c r="F957" s="211">
        <f t="shared" si="329"/>
        <v>956</v>
      </c>
      <c r="G957" s="206" t="s">
        <v>61</v>
      </c>
      <c r="H957" s="206"/>
      <c r="I957" s="224">
        <v>18</v>
      </c>
      <c r="J957" s="208" t="str">
        <f>J956</f>
        <v>1560 mm id</v>
      </c>
      <c r="K957" s="234">
        <v>1</v>
      </c>
      <c r="L957" s="208" t="s">
        <v>81</v>
      </c>
      <c r="M957" s="227">
        <f t="shared" si="330"/>
        <v>4.9015199999999997</v>
      </c>
      <c r="N957" s="208" t="s">
        <v>139</v>
      </c>
      <c r="O957" s="246">
        <f>VLOOKUP(I957,BM!$A$2:$X$104,20,FALSE)</f>
        <v>0.5</v>
      </c>
      <c r="P957" s="208" t="s">
        <v>112</v>
      </c>
      <c r="Q957" s="240">
        <f t="shared" si="327"/>
        <v>2.4507599999999998</v>
      </c>
      <c r="R957" s="239">
        <v>1</v>
      </c>
      <c r="S957" s="240">
        <f t="shared" si="309"/>
        <v>3.45</v>
      </c>
      <c r="T957" s="216" t="s">
        <v>48</v>
      </c>
      <c r="U957" s="196" t="str">
        <f t="shared" si="307"/>
        <v>3.45 Hrs</v>
      </c>
    </row>
    <row r="958" spans="3:21" s="185" customFormat="1" ht="20.25" customHeight="1">
      <c r="C958" s="198">
        <f>D958</f>
        <v>958</v>
      </c>
      <c r="D958" s="203">
        <f t="shared" si="291"/>
        <v>958</v>
      </c>
      <c r="E958" s="204" t="s">
        <v>337</v>
      </c>
      <c r="F958" s="210">
        <f>D952</f>
        <v>952</v>
      </c>
      <c r="G958" s="206"/>
      <c r="H958" s="206"/>
      <c r="I958" s="208"/>
      <c r="J958" s="208"/>
      <c r="K958" s="234"/>
      <c r="L958" s="208"/>
      <c r="M958" s="217"/>
      <c r="N958" s="208"/>
      <c r="O958" s="218"/>
      <c r="P958" s="208"/>
      <c r="Q958" s="240"/>
      <c r="R958" s="239"/>
      <c r="S958" s="240"/>
      <c r="T958" s="216"/>
      <c r="U958" s="196"/>
    </row>
    <row r="959" spans="3:21" s="185" customFormat="1" ht="20.25" customHeight="1">
      <c r="C959" s="198"/>
      <c r="D959" s="203">
        <f t="shared" si="291"/>
        <v>959</v>
      </c>
      <c r="E959" s="207" t="s">
        <v>338</v>
      </c>
      <c r="F959" s="211"/>
      <c r="G959" s="206" t="s">
        <v>299</v>
      </c>
      <c r="H959" s="206"/>
      <c r="I959" s="224">
        <v>18</v>
      </c>
      <c r="J959" s="208" t="str">
        <f>J957</f>
        <v>1560 mm id</v>
      </c>
      <c r="K959" s="234">
        <v>1</v>
      </c>
      <c r="L959" s="208" t="s">
        <v>81</v>
      </c>
      <c r="M959" s="227">
        <f t="shared" ref="M959:M960" si="331">LEFT(J959,SEARCH(" ",J959,1)-1)*3.142*K959*0.001</f>
        <v>4.9015199999999997</v>
      </c>
      <c r="N959" s="208" t="s">
        <v>139</v>
      </c>
      <c r="O959" s="246">
        <f>VLOOKUP(I959,BM!$A$2:$X$104,10,FALSE)</f>
        <v>1</v>
      </c>
      <c r="P959" s="208" t="s">
        <v>112</v>
      </c>
      <c r="Q959" s="240">
        <f t="shared" ref="Q959:Q960" si="332">M959*O959</f>
        <v>4.9015199999999997</v>
      </c>
      <c r="R959" s="239">
        <v>1</v>
      </c>
      <c r="S959" s="240">
        <f t="shared" si="309"/>
        <v>5.9</v>
      </c>
      <c r="T959" s="216" t="s">
        <v>48</v>
      </c>
      <c r="U959" s="196" t="str">
        <f t="shared" si="307"/>
        <v>5.9 Hrs</v>
      </c>
    </row>
    <row r="960" spans="3:21" s="185" customFormat="1" ht="20.25" customHeight="1">
      <c r="C960" s="198"/>
      <c r="D960" s="203">
        <f t="shared" si="291"/>
        <v>960</v>
      </c>
      <c r="E960" s="207" t="s">
        <v>339</v>
      </c>
      <c r="F960" s="211">
        <f t="shared" ref="F960" si="333">D959</f>
        <v>959</v>
      </c>
      <c r="G960" s="206" t="s">
        <v>44</v>
      </c>
      <c r="H960" s="206"/>
      <c r="I960" s="224">
        <v>18</v>
      </c>
      <c r="J960" s="208" t="str">
        <f>J957</f>
        <v>1560 mm id</v>
      </c>
      <c r="K960" s="234">
        <v>1</v>
      </c>
      <c r="L960" s="208" t="s">
        <v>81</v>
      </c>
      <c r="M960" s="227">
        <f t="shared" si="331"/>
        <v>4.9015199999999997</v>
      </c>
      <c r="N960" s="208" t="s">
        <v>139</v>
      </c>
      <c r="O960" s="218">
        <v>1</v>
      </c>
      <c r="P960" s="208" t="s">
        <v>112</v>
      </c>
      <c r="Q960" s="240">
        <f t="shared" si="332"/>
        <v>4.9015199999999997</v>
      </c>
      <c r="R960" s="239">
        <v>1</v>
      </c>
      <c r="S960" s="240">
        <f t="shared" si="309"/>
        <v>5.9</v>
      </c>
      <c r="T960" s="216" t="s">
        <v>48</v>
      </c>
      <c r="U960" s="196" t="str">
        <f t="shared" si="307"/>
        <v>5.9 Hrs</v>
      </c>
    </row>
    <row r="961" spans="3:21" s="185" customFormat="1" ht="20.25" customHeight="1">
      <c r="C961" s="198">
        <f>D961</f>
        <v>961</v>
      </c>
      <c r="D961" s="203">
        <f t="shared" si="291"/>
        <v>961</v>
      </c>
      <c r="E961" s="204" t="s">
        <v>340</v>
      </c>
      <c r="F961" s="210">
        <f>D958</f>
        <v>958</v>
      </c>
      <c r="G961" s="206"/>
      <c r="H961" s="206"/>
      <c r="I961" s="208"/>
      <c r="J961" s="208"/>
      <c r="K961" s="234"/>
      <c r="L961" s="208"/>
      <c r="M961" s="217"/>
      <c r="N961" s="208"/>
      <c r="O961" s="218"/>
      <c r="P961" s="208"/>
      <c r="Q961" s="240"/>
      <c r="R961" s="239"/>
      <c r="S961" s="240"/>
      <c r="T961" s="216"/>
      <c r="U961" s="196"/>
    </row>
    <row r="962" spans="3:21" s="185" customFormat="1" ht="20.25" customHeight="1">
      <c r="C962" s="198"/>
      <c r="D962" s="203">
        <f t="shared" si="291"/>
        <v>962</v>
      </c>
      <c r="E962" s="207" t="s">
        <v>341</v>
      </c>
      <c r="F962" s="211"/>
      <c r="G962" s="206" t="s">
        <v>44</v>
      </c>
      <c r="H962" s="206"/>
      <c r="I962" s="224">
        <v>18</v>
      </c>
      <c r="J962" s="208" t="str">
        <f>J960</f>
        <v>1560 mm id</v>
      </c>
      <c r="K962" s="234">
        <v>1</v>
      </c>
      <c r="L962" s="208" t="s">
        <v>81</v>
      </c>
      <c r="M962" s="217">
        <v>1</v>
      </c>
      <c r="N962" s="208" t="s">
        <v>139</v>
      </c>
      <c r="O962" s="218">
        <v>1</v>
      </c>
      <c r="P962" s="208" t="s">
        <v>112</v>
      </c>
      <c r="Q962" s="240">
        <f t="shared" ref="Q962:Q966" si="334">M962*O962</f>
        <v>1</v>
      </c>
      <c r="R962" s="239">
        <v>1</v>
      </c>
      <c r="S962" s="240">
        <f t="shared" si="309"/>
        <v>2</v>
      </c>
      <c r="T962" s="216" t="s">
        <v>48</v>
      </c>
      <c r="U962" s="196" t="str">
        <f t="shared" si="307"/>
        <v>2 Hrs</v>
      </c>
    </row>
    <row r="963" spans="3:21" s="185" customFormat="1" ht="20.25" customHeight="1">
      <c r="C963" s="198"/>
      <c r="D963" s="203">
        <f t="shared" ref="D963:D1026" si="335">D962+1</f>
        <v>963</v>
      </c>
      <c r="E963" s="207" t="s">
        <v>342</v>
      </c>
      <c r="F963" s="211">
        <f t="shared" ref="F963:F966" si="336">D962</f>
        <v>962</v>
      </c>
      <c r="G963" s="206" t="s">
        <v>115</v>
      </c>
      <c r="H963" s="206"/>
      <c r="I963" s="233">
        <f>12</f>
        <v>12</v>
      </c>
      <c r="J963" s="208" t="str">
        <f>J962</f>
        <v>1560 mm id</v>
      </c>
      <c r="K963" s="234">
        <v>1</v>
      </c>
      <c r="L963" s="208" t="s">
        <v>81</v>
      </c>
      <c r="M963" s="227">
        <f t="shared" ref="M963:M966" si="337">LEFT(J963,SEARCH(" ",J963,1)-1)*3.142*K963*0.001</f>
        <v>4.9015199999999997</v>
      </c>
      <c r="N963" s="208" t="s">
        <v>139</v>
      </c>
      <c r="O963" s="246">
        <f>VLOOKUP(I963,BM!$A$2:$X$104,17,FALSE)</f>
        <v>2.5</v>
      </c>
      <c r="P963" s="208" t="s">
        <v>112</v>
      </c>
      <c r="Q963" s="240">
        <f t="shared" si="334"/>
        <v>12.253799999999998</v>
      </c>
      <c r="R963" s="239">
        <v>1</v>
      </c>
      <c r="S963" s="240">
        <f t="shared" si="309"/>
        <v>13.25</v>
      </c>
      <c r="T963" s="216" t="s">
        <v>48</v>
      </c>
      <c r="U963" s="196" t="str">
        <f t="shared" si="307"/>
        <v>13.25 Hrs</v>
      </c>
    </row>
    <row r="964" spans="3:21" s="185" customFormat="1" ht="20.25" customHeight="1">
      <c r="C964" s="198"/>
      <c r="D964" s="203">
        <f t="shared" si="335"/>
        <v>964</v>
      </c>
      <c r="E964" s="207" t="s">
        <v>343</v>
      </c>
      <c r="F964" s="211">
        <f t="shared" si="336"/>
        <v>963</v>
      </c>
      <c r="G964" s="206" t="s">
        <v>61</v>
      </c>
      <c r="H964" s="206"/>
      <c r="I964" s="233">
        <f>18</f>
        <v>18</v>
      </c>
      <c r="J964" s="208" t="str">
        <f>J963</f>
        <v>1560 mm id</v>
      </c>
      <c r="K964" s="234">
        <v>1</v>
      </c>
      <c r="L964" s="208" t="s">
        <v>81</v>
      </c>
      <c r="M964" s="227">
        <f t="shared" si="337"/>
        <v>4.9015199999999997</v>
      </c>
      <c r="N964" s="208" t="s">
        <v>139</v>
      </c>
      <c r="O964" s="246">
        <f>VLOOKUP(I964,BM!$A$2:$X$104,18,FALSE)</f>
        <v>1</v>
      </c>
      <c r="P964" s="208" t="s">
        <v>112</v>
      </c>
      <c r="Q964" s="240">
        <f t="shared" si="334"/>
        <v>4.9015199999999997</v>
      </c>
      <c r="R964" s="239">
        <v>1</v>
      </c>
      <c r="S964" s="240">
        <f t="shared" si="309"/>
        <v>5.9</v>
      </c>
      <c r="T964" s="216" t="s">
        <v>48</v>
      </c>
      <c r="U964" s="196" t="str">
        <f t="shared" si="307"/>
        <v>5.9 Hrs</v>
      </c>
    </row>
    <row r="965" spans="3:21" s="185" customFormat="1" ht="20.25" customHeight="1">
      <c r="C965" s="198"/>
      <c r="D965" s="203">
        <f t="shared" si="335"/>
        <v>965</v>
      </c>
      <c r="E965" s="207" t="s">
        <v>344</v>
      </c>
      <c r="F965" s="211">
        <f t="shared" si="336"/>
        <v>964</v>
      </c>
      <c r="G965" s="206" t="s">
        <v>115</v>
      </c>
      <c r="H965" s="206"/>
      <c r="I965" s="224">
        <v>6</v>
      </c>
      <c r="J965" s="208" t="str">
        <f>J964</f>
        <v>1560 mm id</v>
      </c>
      <c r="K965" s="234">
        <v>1</v>
      </c>
      <c r="L965" s="208" t="s">
        <v>81</v>
      </c>
      <c r="M965" s="227">
        <f t="shared" si="337"/>
        <v>4.9015199999999997</v>
      </c>
      <c r="N965" s="208" t="s">
        <v>139</v>
      </c>
      <c r="O965" s="246">
        <f>VLOOKUP(I965,BM!$A$2:$X$104,17,FALSE)</f>
        <v>0.9</v>
      </c>
      <c r="P965" s="208" t="s">
        <v>112</v>
      </c>
      <c r="Q965" s="240">
        <f t="shared" si="334"/>
        <v>4.4113679999999995</v>
      </c>
      <c r="R965" s="239">
        <v>1</v>
      </c>
      <c r="S965" s="240">
        <f t="shared" si="309"/>
        <v>5.41</v>
      </c>
      <c r="T965" s="216" t="s">
        <v>48</v>
      </c>
      <c r="U965" s="196" t="str">
        <f t="shared" si="307"/>
        <v>5.41 Hrs</v>
      </c>
    </row>
    <row r="966" spans="3:21" s="185" customFormat="1" ht="20.25" customHeight="1">
      <c r="C966" s="198"/>
      <c r="D966" s="203">
        <f t="shared" si="335"/>
        <v>966</v>
      </c>
      <c r="E966" s="207" t="s">
        <v>345</v>
      </c>
      <c r="F966" s="211">
        <f t="shared" si="336"/>
        <v>965</v>
      </c>
      <c r="G966" s="206" t="s">
        <v>61</v>
      </c>
      <c r="H966" s="206"/>
      <c r="I966" s="224">
        <v>18</v>
      </c>
      <c r="J966" s="208" t="str">
        <f>J965</f>
        <v>1560 mm id</v>
      </c>
      <c r="K966" s="234">
        <v>1</v>
      </c>
      <c r="L966" s="208" t="s">
        <v>81</v>
      </c>
      <c r="M966" s="227">
        <f t="shared" si="337"/>
        <v>4.9015199999999997</v>
      </c>
      <c r="N966" s="208" t="s">
        <v>139</v>
      </c>
      <c r="O966" s="246">
        <f>VLOOKUP(I966,BM!$A$2:$X$104,20,FALSE)</f>
        <v>0.5</v>
      </c>
      <c r="P966" s="208" t="s">
        <v>112</v>
      </c>
      <c r="Q966" s="240">
        <f t="shared" si="334"/>
        <v>2.4507599999999998</v>
      </c>
      <c r="R966" s="239">
        <v>1</v>
      </c>
      <c r="S966" s="240">
        <f t="shared" si="309"/>
        <v>3.45</v>
      </c>
      <c r="T966" s="216" t="s">
        <v>48</v>
      </c>
      <c r="U966" s="196" t="str">
        <f t="shared" si="307"/>
        <v>3.45 Hrs</v>
      </c>
    </row>
    <row r="967" spans="3:21" s="185" customFormat="1" ht="20.25" customHeight="1">
      <c r="C967" s="198">
        <f>D967</f>
        <v>967</v>
      </c>
      <c r="D967" s="203">
        <f t="shared" si="335"/>
        <v>967</v>
      </c>
      <c r="E967" s="204" t="s">
        <v>346</v>
      </c>
      <c r="F967" s="210">
        <f>D961</f>
        <v>961</v>
      </c>
      <c r="G967" s="206"/>
      <c r="H967" s="206"/>
      <c r="I967" s="208"/>
      <c r="J967" s="208"/>
      <c r="K967" s="234"/>
      <c r="L967" s="208"/>
      <c r="M967" s="217"/>
      <c r="N967" s="208"/>
      <c r="O967" s="218"/>
      <c r="P967" s="208"/>
      <c r="Q967" s="240"/>
      <c r="R967" s="239"/>
      <c r="S967" s="240"/>
      <c r="T967" s="216"/>
      <c r="U967" s="196"/>
    </row>
    <row r="968" spans="3:21" s="185" customFormat="1" ht="20.25" customHeight="1">
      <c r="C968" s="198"/>
      <c r="D968" s="203">
        <f t="shared" si="335"/>
        <v>968</v>
      </c>
      <c r="E968" s="207" t="s">
        <v>347</v>
      </c>
      <c r="F968" s="211"/>
      <c r="G968" s="206" t="s">
        <v>348</v>
      </c>
      <c r="H968" s="206"/>
      <c r="I968" s="224">
        <v>18</v>
      </c>
      <c r="J968" s="208" t="str">
        <f>J966</f>
        <v>1560 mm id</v>
      </c>
      <c r="K968" s="234">
        <v>1</v>
      </c>
      <c r="L968" s="208" t="s">
        <v>39</v>
      </c>
      <c r="M968" s="217">
        <v>1</v>
      </c>
      <c r="N968" s="208" t="s">
        <v>39</v>
      </c>
      <c r="O968" s="218">
        <v>4</v>
      </c>
      <c r="P968" s="208" t="s">
        <v>112</v>
      </c>
      <c r="Q968" s="240">
        <f t="shared" ref="Q968:Q970" si="338">M968*O968</f>
        <v>4</v>
      </c>
      <c r="R968" s="239">
        <v>1</v>
      </c>
      <c r="S968" s="240">
        <f t="shared" si="309"/>
        <v>5</v>
      </c>
      <c r="T968" s="216" t="s">
        <v>48</v>
      </c>
      <c r="U968" s="196" t="str">
        <f t="shared" si="307"/>
        <v>5 Hrs</v>
      </c>
    </row>
    <row r="969" spans="3:21" s="185" customFormat="1" ht="20.25" customHeight="1">
      <c r="C969" s="198"/>
      <c r="D969" s="203">
        <f t="shared" si="335"/>
        <v>969</v>
      </c>
      <c r="E969" s="207" t="s">
        <v>349</v>
      </c>
      <c r="F969" s="211">
        <f t="shared" ref="F969:F970" si="339">D968</f>
        <v>968</v>
      </c>
      <c r="G969" s="206" t="s">
        <v>52</v>
      </c>
      <c r="H969" s="206"/>
      <c r="I969" s="224">
        <v>18</v>
      </c>
      <c r="J969" s="208" t="str">
        <f>J968</f>
        <v>1560 mm id</v>
      </c>
      <c r="K969" s="234">
        <v>1</v>
      </c>
      <c r="L969" s="208" t="s">
        <v>39</v>
      </c>
      <c r="M969" s="227">
        <f t="shared" ref="M969:M970" si="340">LEFT(J969,SEARCH(" ",J969,1)-1)*3.142*K969*0.001</f>
        <v>4.9015199999999997</v>
      </c>
      <c r="N969" s="208" t="s">
        <v>139</v>
      </c>
      <c r="O969" s="246">
        <f>VLOOKUP(I969,BM!$A$2:$X$104,5,FALSE)</f>
        <v>0.5</v>
      </c>
      <c r="P969" s="208" t="s">
        <v>112</v>
      </c>
      <c r="Q969" s="240">
        <f t="shared" si="338"/>
        <v>2.4507599999999998</v>
      </c>
      <c r="R969" s="239">
        <v>1</v>
      </c>
      <c r="S969" s="240">
        <f t="shared" si="309"/>
        <v>3.45</v>
      </c>
      <c r="T969" s="216" t="s">
        <v>48</v>
      </c>
      <c r="U969" s="196" t="str">
        <f t="shared" si="307"/>
        <v>3.45 Hrs</v>
      </c>
    </row>
    <row r="970" spans="3:21" s="185" customFormat="1" ht="20.25" customHeight="1">
      <c r="C970" s="198"/>
      <c r="D970" s="203">
        <f t="shared" si="335"/>
        <v>970</v>
      </c>
      <c r="E970" s="207" t="s">
        <v>350</v>
      </c>
      <c r="F970" s="211">
        <f t="shared" si="339"/>
        <v>969</v>
      </c>
      <c r="G970" s="206" t="s">
        <v>121</v>
      </c>
      <c r="H970" s="206"/>
      <c r="I970" s="224">
        <v>18</v>
      </c>
      <c r="J970" s="208" t="str">
        <f>J969</f>
        <v>1560 mm id</v>
      </c>
      <c r="K970" s="234">
        <v>1</v>
      </c>
      <c r="L970" s="208" t="s">
        <v>39</v>
      </c>
      <c r="M970" s="227">
        <f t="shared" si="340"/>
        <v>4.9015199999999997</v>
      </c>
      <c r="N970" s="208" t="s">
        <v>139</v>
      </c>
      <c r="O970" s="246">
        <f>VLOOKUP(I970,BM!$A$2:$X$104,5,FALSE)</f>
        <v>0.5</v>
      </c>
      <c r="P970" s="208" t="s">
        <v>112</v>
      </c>
      <c r="Q970" s="240">
        <f t="shared" si="338"/>
        <v>2.4507599999999998</v>
      </c>
      <c r="R970" s="239">
        <v>1</v>
      </c>
      <c r="S970" s="240">
        <f t="shared" si="309"/>
        <v>3.45</v>
      </c>
      <c r="T970" s="216" t="s">
        <v>48</v>
      </c>
      <c r="U970" s="196" t="str">
        <f t="shared" si="307"/>
        <v>3.45 Hrs</v>
      </c>
    </row>
    <row r="971" spans="3:21" s="185" customFormat="1" ht="20.25" customHeight="1">
      <c r="C971" s="198">
        <f>D971</f>
        <v>971</v>
      </c>
      <c r="D971" s="203">
        <f t="shared" si="335"/>
        <v>971</v>
      </c>
      <c r="E971" s="204" t="s">
        <v>351</v>
      </c>
      <c r="F971" s="210">
        <f>D967</f>
        <v>967</v>
      </c>
      <c r="G971" s="206"/>
      <c r="H971" s="206"/>
      <c r="I971" s="208"/>
      <c r="J971" s="208"/>
      <c r="K971" s="234"/>
      <c r="L971" s="208"/>
      <c r="M971" s="217"/>
      <c r="N971" s="208"/>
      <c r="O971" s="218"/>
      <c r="P971" s="208"/>
      <c r="Q971" s="240"/>
      <c r="R971" s="239"/>
      <c r="S971" s="240"/>
      <c r="T971" s="216"/>
      <c r="U971" s="196"/>
    </row>
    <row r="972" spans="3:21" s="185" customFormat="1" ht="20.25" customHeight="1">
      <c r="C972" s="198"/>
      <c r="D972" s="203">
        <f t="shared" si="335"/>
        <v>972</v>
      </c>
      <c r="E972" s="207" t="s">
        <v>352</v>
      </c>
      <c r="F972" s="211"/>
      <c r="G972" s="206" t="s">
        <v>299</v>
      </c>
      <c r="H972" s="206"/>
      <c r="I972" s="224">
        <v>18</v>
      </c>
      <c r="J972" s="208" t="str">
        <f>J970</f>
        <v>1560 mm id</v>
      </c>
      <c r="K972" s="234">
        <v>1</v>
      </c>
      <c r="L972" s="208" t="s">
        <v>81</v>
      </c>
      <c r="M972" s="227">
        <f t="shared" ref="M972:M973" si="341">LEFT(J972,SEARCH(" ",J972,1)-1)*3.142*K972*0.001</f>
        <v>4.9015199999999997</v>
      </c>
      <c r="N972" s="208" t="s">
        <v>139</v>
      </c>
      <c r="O972" s="246">
        <f>VLOOKUP(I972,BM!$A$2:$X$104,10,FALSE)</f>
        <v>1</v>
      </c>
      <c r="P972" s="208" t="s">
        <v>112</v>
      </c>
      <c r="Q972" s="240">
        <f t="shared" ref="Q972:Q973" si="342">M972*O972</f>
        <v>4.9015199999999997</v>
      </c>
      <c r="R972" s="239">
        <v>1</v>
      </c>
      <c r="S972" s="240">
        <f t="shared" si="309"/>
        <v>5.9</v>
      </c>
      <c r="T972" s="216" t="s">
        <v>48</v>
      </c>
      <c r="U972" s="196" t="str">
        <f t="shared" si="307"/>
        <v>5.9 Hrs</v>
      </c>
    </row>
    <row r="973" spans="3:21" s="185" customFormat="1" ht="20.25" customHeight="1">
      <c r="C973" s="198"/>
      <c r="D973" s="203">
        <f t="shared" si="335"/>
        <v>973</v>
      </c>
      <c r="E973" s="207" t="s">
        <v>353</v>
      </c>
      <c r="F973" s="211">
        <f t="shared" ref="F973" si="343">D972</f>
        <v>972</v>
      </c>
      <c r="G973" s="206" t="s">
        <v>44</v>
      </c>
      <c r="H973" s="206"/>
      <c r="I973" s="224">
        <v>18</v>
      </c>
      <c r="J973" s="208" t="str">
        <f>J970</f>
        <v>1560 mm id</v>
      </c>
      <c r="K973" s="234">
        <v>1</v>
      </c>
      <c r="L973" s="208" t="s">
        <v>81</v>
      </c>
      <c r="M973" s="227">
        <f t="shared" si="341"/>
        <v>4.9015199999999997</v>
      </c>
      <c r="N973" s="208" t="s">
        <v>139</v>
      </c>
      <c r="O973" s="218">
        <v>1</v>
      </c>
      <c r="P973" s="208" t="s">
        <v>112</v>
      </c>
      <c r="Q973" s="240">
        <f t="shared" si="342"/>
        <v>4.9015199999999997</v>
      </c>
      <c r="R973" s="239">
        <v>1</v>
      </c>
      <c r="S973" s="240">
        <f t="shared" si="309"/>
        <v>5.9</v>
      </c>
      <c r="T973" s="216" t="s">
        <v>48</v>
      </c>
      <c r="U973" s="196" t="str">
        <f t="shared" si="307"/>
        <v>5.9 Hrs</v>
      </c>
    </row>
    <row r="974" spans="3:21" s="185" customFormat="1" ht="20.25" customHeight="1">
      <c r="C974" s="198">
        <f>D974</f>
        <v>974</v>
      </c>
      <c r="D974" s="203">
        <f t="shared" si="335"/>
        <v>974</v>
      </c>
      <c r="E974" s="204" t="s">
        <v>354</v>
      </c>
      <c r="F974" s="210">
        <f>D971</f>
        <v>971</v>
      </c>
      <c r="G974" s="206"/>
      <c r="H974" s="206"/>
      <c r="I974" s="208"/>
      <c r="J974" s="208"/>
      <c r="K974" s="234"/>
      <c r="L974" s="208"/>
      <c r="M974" s="217"/>
      <c r="N974" s="208"/>
      <c r="O974" s="218"/>
      <c r="P974" s="208"/>
      <c r="Q974" s="240"/>
      <c r="R974" s="239"/>
      <c r="S974" s="240"/>
      <c r="T974" s="216"/>
      <c r="U974" s="196"/>
    </row>
    <row r="975" spans="3:21" s="185" customFormat="1" ht="20.25" customHeight="1">
      <c r="C975" s="198"/>
      <c r="D975" s="203">
        <f t="shared" si="335"/>
        <v>975</v>
      </c>
      <c r="E975" s="207" t="s">
        <v>323</v>
      </c>
      <c r="F975" s="211">
        <f t="shared" ref="F975:F979" si="344">D974</f>
        <v>974</v>
      </c>
      <c r="G975" s="206" t="s">
        <v>44</v>
      </c>
      <c r="H975" s="206"/>
      <c r="I975" s="224">
        <v>12</v>
      </c>
      <c r="J975" s="208" t="str">
        <f>J973</f>
        <v>1560 mm id</v>
      </c>
      <c r="K975" s="234">
        <v>1</v>
      </c>
      <c r="L975" s="208" t="s">
        <v>81</v>
      </c>
      <c r="M975" s="217">
        <v>1</v>
      </c>
      <c r="N975" s="208" t="s">
        <v>139</v>
      </c>
      <c r="O975" s="218">
        <v>1</v>
      </c>
      <c r="P975" s="208" t="s">
        <v>112</v>
      </c>
      <c r="Q975" s="240">
        <f t="shared" ref="Q975:Q979" si="345">M975*O975</f>
        <v>1</v>
      </c>
      <c r="R975" s="239">
        <v>1</v>
      </c>
      <c r="S975" s="240">
        <f t="shared" si="309"/>
        <v>2</v>
      </c>
      <c r="T975" s="216" t="s">
        <v>48</v>
      </c>
      <c r="U975" s="196" t="str">
        <f t="shared" si="307"/>
        <v>2 Hrs</v>
      </c>
    </row>
    <row r="976" spans="3:21" s="185" customFormat="1" ht="20.25" customHeight="1">
      <c r="C976" s="198"/>
      <c r="D976" s="203">
        <f t="shared" si="335"/>
        <v>976</v>
      </c>
      <c r="E976" s="207" t="s">
        <v>355</v>
      </c>
      <c r="F976" s="211"/>
      <c r="G976" s="206" t="s">
        <v>115</v>
      </c>
      <c r="H976" s="206"/>
      <c r="I976" s="224">
        <v>12</v>
      </c>
      <c r="J976" s="208" t="str">
        <f>J975</f>
        <v>1560 mm id</v>
      </c>
      <c r="K976" s="234">
        <v>1</v>
      </c>
      <c r="L976" s="208" t="s">
        <v>81</v>
      </c>
      <c r="M976" s="227">
        <f t="shared" ref="M976:M979" si="346">LEFT(J976,SEARCH(" ",J976,1)-1)*3.142*K976*0.001</f>
        <v>4.9015199999999997</v>
      </c>
      <c r="N976" s="208" t="s">
        <v>139</v>
      </c>
      <c r="O976" s="246">
        <f>VLOOKUP(I976,BM!$A$2:$X$104,17,FALSE)</f>
        <v>2.5</v>
      </c>
      <c r="P976" s="208" t="s">
        <v>112</v>
      </c>
      <c r="Q976" s="240">
        <f t="shared" si="345"/>
        <v>12.253799999999998</v>
      </c>
      <c r="R976" s="239">
        <v>1</v>
      </c>
      <c r="S976" s="240">
        <f t="shared" si="309"/>
        <v>13.25</v>
      </c>
      <c r="T976" s="216" t="s">
        <v>48</v>
      </c>
      <c r="U976" s="196" t="str">
        <f t="shared" si="307"/>
        <v>13.25 Hrs</v>
      </c>
    </row>
    <row r="977" spans="3:21" s="185" customFormat="1" ht="20.25" customHeight="1">
      <c r="C977" s="198"/>
      <c r="D977" s="203">
        <f t="shared" si="335"/>
        <v>977</v>
      </c>
      <c r="E977" s="207" t="s">
        <v>356</v>
      </c>
      <c r="F977" s="211">
        <f t="shared" si="344"/>
        <v>976</v>
      </c>
      <c r="G977" s="206" t="s">
        <v>61</v>
      </c>
      <c r="H977" s="206"/>
      <c r="I977" s="224">
        <v>18</v>
      </c>
      <c r="J977" s="208" t="str">
        <f>J976</f>
        <v>1560 mm id</v>
      </c>
      <c r="K977" s="234">
        <v>1</v>
      </c>
      <c r="L977" s="208" t="s">
        <v>81</v>
      </c>
      <c r="M977" s="227">
        <f t="shared" si="346"/>
        <v>4.9015199999999997</v>
      </c>
      <c r="N977" s="208" t="s">
        <v>139</v>
      </c>
      <c r="O977" s="246">
        <f>VLOOKUP(I977,BM!$A$2:$X$104,18,FALSE)</f>
        <v>1</v>
      </c>
      <c r="P977" s="208" t="s">
        <v>112</v>
      </c>
      <c r="Q977" s="240">
        <f t="shared" si="345"/>
        <v>4.9015199999999997</v>
      </c>
      <c r="R977" s="239">
        <v>1</v>
      </c>
      <c r="S977" s="240">
        <f t="shared" si="309"/>
        <v>5.9</v>
      </c>
      <c r="T977" s="216" t="s">
        <v>48</v>
      </c>
      <c r="U977" s="196" t="str">
        <f t="shared" si="307"/>
        <v>5.9 Hrs</v>
      </c>
    </row>
    <row r="978" spans="3:21" s="185" customFormat="1" ht="20.25" customHeight="1">
      <c r="C978" s="198"/>
      <c r="D978" s="203">
        <f t="shared" si="335"/>
        <v>978</v>
      </c>
      <c r="E978" s="207" t="s">
        <v>357</v>
      </c>
      <c r="F978" s="211">
        <f t="shared" si="344"/>
        <v>977</v>
      </c>
      <c r="G978" s="206" t="s">
        <v>115</v>
      </c>
      <c r="H978" s="206"/>
      <c r="I978" s="224">
        <v>6</v>
      </c>
      <c r="J978" s="208" t="str">
        <f>J977</f>
        <v>1560 mm id</v>
      </c>
      <c r="K978" s="234">
        <v>1</v>
      </c>
      <c r="L978" s="208" t="s">
        <v>81</v>
      </c>
      <c r="M978" s="227">
        <f t="shared" si="346"/>
        <v>4.9015199999999997</v>
      </c>
      <c r="N978" s="208" t="s">
        <v>139</v>
      </c>
      <c r="O978" s="246">
        <f>VLOOKUP(I978,BM!$A$2:$X$104,17,FALSE)</f>
        <v>0.9</v>
      </c>
      <c r="P978" s="208" t="s">
        <v>112</v>
      </c>
      <c r="Q978" s="240">
        <f t="shared" si="345"/>
        <v>4.4113679999999995</v>
      </c>
      <c r="R978" s="239">
        <v>1</v>
      </c>
      <c r="S978" s="240">
        <f t="shared" si="309"/>
        <v>5.41</v>
      </c>
      <c r="T978" s="216" t="s">
        <v>48</v>
      </c>
      <c r="U978" s="196" t="str">
        <f t="shared" si="307"/>
        <v>5.41 Hrs</v>
      </c>
    </row>
    <row r="979" spans="3:21" s="185" customFormat="1" ht="20.25" customHeight="1">
      <c r="C979" s="198"/>
      <c r="D979" s="203">
        <f t="shared" si="335"/>
        <v>979</v>
      </c>
      <c r="E979" s="207" t="s">
        <v>358</v>
      </c>
      <c r="F979" s="211">
        <f t="shared" si="344"/>
        <v>978</v>
      </c>
      <c r="G979" s="206" t="s">
        <v>61</v>
      </c>
      <c r="H979" s="206"/>
      <c r="I979" s="224">
        <v>18</v>
      </c>
      <c r="J979" s="208" t="str">
        <f>J978</f>
        <v>1560 mm id</v>
      </c>
      <c r="K979" s="234">
        <v>1</v>
      </c>
      <c r="L979" s="208" t="s">
        <v>81</v>
      </c>
      <c r="M979" s="227">
        <f t="shared" si="346"/>
        <v>4.9015199999999997</v>
      </c>
      <c r="N979" s="208" t="s">
        <v>139</v>
      </c>
      <c r="O979" s="246">
        <f>VLOOKUP(I979,BM!$A$2:$X$104,20,FALSE)</f>
        <v>0.5</v>
      </c>
      <c r="P979" s="208" t="s">
        <v>112</v>
      </c>
      <c r="Q979" s="240">
        <f t="shared" si="345"/>
        <v>2.4507599999999998</v>
      </c>
      <c r="R979" s="239">
        <v>1</v>
      </c>
      <c r="S979" s="240">
        <f t="shared" si="309"/>
        <v>3.45</v>
      </c>
      <c r="T979" s="216" t="s">
        <v>48</v>
      </c>
      <c r="U979" s="196" t="str">
        <f t="shared" si="307"/>
        <v>3.45 Hrs</v>
      </c>
    </row>
    <row r="980" spans="3:21" s="185" customFormat="1" ht="20.25" customHeight="1">
      <c r="C980" s="198">
        <f>D980</f>
        <v>980</v>
      </c>
      <c r="D980" s="203">
        <f t="shared" si="335"/>
        <v>980</v>
      </c>
      <c r="E980" s="204" t="s">
        <v>359</v>
      </c>
      <c r="F980" s="210">
        <f>D974</f>
        <v>974</v>
      </c>
      <c r="G980" s="206"/>
      <c r="H980" s="206"/>
      <c r="I980" s="208"/>
      <c r="J980" s="208"/>
      <c r="K980" s="234"/>
      <c r="L980" s="208"/>
      <c r="M980" s="217"/>
      <c r="N980" s="208"/>
      <c r="O980" s="218"/>
      <c r="P980" s="208"/>
      <c r="Q980" s="240"/>
      <c r="R980" s="239"/>
      <c r="S980" s="240"/>
      <c r="T980" s="216"/>
      <c r="U980" s="196"/>
    </row>
    <row r="981" spans="3:21" s="185" customFormat="1" ht="20.25" customHeight="1">
      <c r="C981" s="198"/>
      <c r="D981" s="203">
        <f t="shared" si="335"/>
        <v>981</v>
      </c>
      <c r="E981" s="207" t="s">
        <v>360</v>
      </c>
      <c r="F981" s="211"/>
      <c r="G981" s="206" t="s">
        <v>299</v>
      </c>
      <c r="H981" s="206"/>
      <c r="I981" s="224">
        <v>18</v>
      </c>
      <c r="J981" s="208" t="str">
        <f>J979</f>
        <v>1560 mm id</v>
      </c>
      <c r="K981" s="234">
        <v>1</v>
      </c>
      <c r="L981" s="208" t="s">
        <v>81</v>
      </c>
      <c r="M981" s="227">
        <f t="shared" ref="M981:M982" si="347">LEFT(J981,SEARCH(" ",J981,1)-1)*3.142*K981*0.001</f>
        <v>4.9015199999999997</v>
      </c>
      <c r="N981" s="208" t="s">
        <v>139</v>
      </c>
      <c r="O981" s="246">
        <f>VLOOKUP(I981,BM!$A$2:$X$104,10,FALSE)</f>
        <v>1</v>
      </c>
      <c r="P981" s="208" t="s">
        <v>112</v>
      </c>
      <c r="Q981" s="240">
        <f t="shared" ref="Q981:Q982" si="348">M981*O981</f>
        <v>4.9015199999999997</v>
      </c>
      <c r="R981" s="239">
        <v>1</v>
      </c>
      <c r="S981" s="240">
        <f t="shared" si="309"/>
        <v>5.9</v>
      </c>
      <c r="T981" s="216" t="s">
        <v>48</v>
      </c>
      <c r="U981" s="196" t="str">
        <f t="shared" si="307"/>
        <v>5.9 Hrs</v>
      </c>
    </row>
    <row r="982" spans="3:21" s="185" customFormat="1" ht="20.25" customHeight="1">
      <c r="C982" s="198"/>
      <c r="D982" s="203">
        <f t="shared" si="335"/>
        <v>982</v>
      </c>
      <c r="E982" s="207" t="s">
        <v>361</v>
      </c>
      <c r="F982" s="211">
        <f t="shared" ref="F982" si="349">D981</f>
        <v>981</v>
      </c>
      <c r="G982" s="206" t="s">
        <v>44</v>
      </c>
      <c r="H982" s="206"/>
      <c r="I982" s="224">
        <v>18</v>
      </c>
      <c r="J982" s="208" t="str">
        <f>J981</f>
        <v>1560 mm id</v>
      </c>
      <c r="K982" s="234">
        <v>1</v>
      </c>
      <c r="L982" s="208" t="s">
        <v>81</v>
      </c>
      <c r="M982" s="227">
        <f t="shared" si="347"/>
        <v>4.9015199999999997</v>
      </c>
      <c r="N982" s="208" t="s">
        <v>139</v>
      </c>
      <c r="O982" s="218">
        <v>1</v>
      </c>
      <c r="P982" s="208" t="s">
        <v>112</v>
      </c>
      <c r="Q982" s="240">
        <f t="shared" si="348"/>
        <v>4.9015199999999997</v>
      </c>
      <c r="R982" s="239">
        <v>1</v>
      </c>
      <c r="S982" s="240">
        <f t="shared" si="309"/>
        <v>5.9</v>
      </c>
      <c r="T982" s="216" t="s">
        <v>48</v>
      </c>
      <c r="U982" s="196" t="str">
        <f t="shared" si="307"/>
        <v>5.9 Hrs</v>
      </c>
    </row>
    <row r="983" spans="3:21" s="185" customFormat="1" ht="20.25" customHeight="1">
      <c r="C983" s="198">
        <f>D983</f>
        <v>983</v>
      </c>
      <c r="D983" s="203">
        <f t="shared" si="335"/>
        <v>983</v>
      </c>
      <c r="E983" s="204" t="s">
        <v>362</v>
      </c>
      <c r="F983" s="210">
        <f>D980</f>
        <v>980</v>
      </c>
      <c r="G983" s="206"/>
      <c r="H983" s="206"/>
      <c r="I983" s="208"/>
      <c r="J983" s="208"/>
      <c r="K983" s="234"/>
      <c r="L983" s="208"/>
      <c r="M983" s="217"/>
      <c r="N983" s="208"/>
      <c r="O983" s="218"/>
      <c r="P983" s="208"/>
      <c r="Q983" s="240"/>
      <c r="R983" s="239"/>
      <c r="S983" s="240"/>
      <c r="T983" s="216"/>
      <c r="U983" s="196"/>
    </row>
    <row r="984" spans="3:21" s="185" customFormat="1" ht="20.25" customHeight="1">
      <c r="C984" s="198"/>
      <c r="D984" s="203">
        <f t="shared" si="335"/>
        <v>984</v>
      </c>
      <c r="E984" s="207" t="s">
        <v>363</v>
      </c>
      <c r="F984" s="211"/>
      <c r="G984" s="206" t="s">
        <v>44</v>
      </c>
      <c r="H984" s="206"/>
      <c r="I984" s="224">
        <v>12</v>
      </c>
      <c r="J984" s="208" t="str">
        <f>J982</f>
        <v>1560 mm id</v>
      </c>
      <c r="K984" s="234">
        <v>1</v>
      </c>
      <c r="L984" s="208" t="s">
        <v>81</v>
      </c>
      <c r="M984" s="217">
        <v>1</v>
      </c>
      <c r="N984" s="208" t="s">
        <v>249</v>
      </c>
      <c r="O984" s="218">
        <v>1</v>
      </c>
      <c r="P984" s="208" t="s">
        <v>112</v>
      </c>
      <c r="Q984" s="240">
        <f t="shared" ref="Q984:Q988" si="350">M984*O984</f>
        <v>1</v>
      </c>
      <c r="R984" s="239">
        <v>1</v>
      </c>
      <c r="S984" s="240">
        <f t="shared" si="309"/>
        <v>2</v>
      </c>
      <c r="T984" s="216" t="s">
        <v>48</v>
      </c>
      <c r="U984" s="196" t="str">
        <f t="shared" si="307"/>
        <v>2 Hrs</v>
      </c>
    </row>
    <row r="985" spans="3:21" s="185" customFormat="1" ht="20.25" customHeight="1">
      <c r="C985" s="198"/>
      <c r="D985" s="203">
        <f t="shared" si="335"/>
        <v>985</v>
      </c>
      <c r="E985" s="207" t="s">
        <v>364</v>
      </c>
      <c r="F985" s="211">
        <f t="shared" ref="F985:F988" si="351">D984</f>
        <v>984</v>
      </c>
      <c r="G985" s="206" t="s">
        <v>115</v>
      </c>
      <c r="H985" s="206"/>
      <c r="I985" s="224">
        <v>12</v>
      </c>
      <c r="J985" s="208" t="str">
        <f>J984</f>
        <v>1560 mm id</v>
      </c>
      <c r="K985" s="234">
        <v>1</v>
      </c>
      <c r="L985" s="208" t="s">
        <v>81</v>
      </c>
      <c r="M985" s="227">
        <f t="shared" ref="M985:M988" si="352">LEFT(J985,SEARCH(" ",J985,1)-1)*3.142*K985*0.001</f>
        <v>4.9015199999999997</v>
      </c>
      <c r="N985" s="208" t="s">
        <v>249</v>
      </c>
      <c r="O985" s="246">
        <f>VLOOKUP(I985,BM!$A$2:$X$104,17,FALSE)</f>
        <v>2.5</v>
      </c>
      <c r="P985" s="208" t="s">
        <v>112</v>
      </c>
      <c r="Q985" s="240">
        <f t="shared" si="350"/>
        <v>12.253799999999998</v>
      </c>
      <c r="R985" s="239">
        <v>1</v>
      </c>
      <c r="S985" s="240">
        <f t="shared" si="309"/>
        <v>13.25</v>
      </c>
      <c r="T985" s="216" t="s">
        <v>48</v>
      </c>
      <c r="U985" s="196" t="str">
        <f t="shared" si="307"/>
        <v>13.25 Hrs</v>
      </c>
    </row>
    <row r="986" spans="3:21" s="185" customFormat="1" ht="20.25" customHeight="1">
      <c r="C986" s="198"/>
      <c r="D986" s="203">
        <f t="shared" si="335"/>
        <v>986</v>
      </c>
      <c r="E986" s="207" t="s">
        <v>365</v>
      </c>
      <c r="F986" s="211">
        <f t="shared" si="351"/>
        <v>985</v>
      </c>
      <c r="G986" s="206" t="s">
        <v>61</v>
      </c>
      <c r="H986" s="206"/>
      <c r="I986" s="224">
        <v>18</v>
      </c>
      <c r="J986" s="208" t="str">
        <f>J985</f>
        <v>1560 mm id</v>
      </c>
      <c r="K986" s="234">
        <v>1</v>
      </c>
      <c r="L986" s="208" t="s">
        <v>81</v>
      </c>
      <c r="M986" s="227">
        <f t="shared" si="352"/>
        <v>4.9015199999999997</v>
      </c>
      <c r="N986" s="208" t="s">
        <v>249</v>
      </c>
      <c r="O986" s="246">
        <f>VLOOKUP(I986,BM!$A$2:$X$104,18,FALSE)</f>
        <v>1</v>
      </c>
      <c r="P986" s="208" t="s">
        <v>112</v>
      </c>
      <c r="Q986" s="240">
        <f t="shared" si="350"/>
        <v>4.9015199999999997</v>
      </c>
      <c r="R986" s="239">
        <v>1</v>
      </c>
      <c r="S986" s="240">
        <f t="shared" si="309"/>
        <v>5.9</v>
      </c>
      <c r="T986" s="216" t="s">
        <v>48</v>
      </c>
      <c r="U986" s="196" t="str">
        <f t="shared" si="307"/>
        <v>5.9 Hrs</v>
      </c>
    </row>
    <row r="987" spans="3:21" s="185" customFormat="1" ht="20.25" customHeight="1">
      <c r="C987" s="198"/>
      <c r="D987" s="203">
        <f t="shared" si="335"/>
        <v>987</v>
      </c>
      <c r="E987" s="207" t="s">
        <v>366</v>
      </c>
      <c r="F987" s="211">
        <f t="shared" si="351"/>
        <v>986</v>
      </c>
      <c r="G987" s="206" t="s">
        <v>115</v>
      </c>
      <c r="H987" s="206"/>
      <c r="I987" s="224">
        <v>6</v>
      </c>
      <c r="J987" s="208" t="str">
        <f>J986</f>
        <v>1560 mm id</v>
      </c>
      <c r="K987" s="234">
        <v>1</v>
      </c>
      <c r="L987" s="208" t="s">
        <v>81</v>
      </c>
      <c r="M987" s="227">
        <f t="shared" si="352"/>
        <v>4.9015199999999997</v>
      </c>
      <c r="N987" s="208" t="s">
        <v>249</v>
      </c>
      <c r="O987" s="246">
        <f>VLOOKUP(I987,BM!$A$2:$X$104,17,FALSE)</f>
        <v>0.9</v>
      </c>
      <c r="P987" s="208" t="s">
        <v>112</v>
      </c>
      <c r="Q987" s="240">
        <f t="shared" si="350"/>
        <v>4.4113679999999995</v>
      </c>
      <c r="R987" s="239">
        <v>1</v>
      </c>
      <c r="S987" s="240">
        <f t="shared" si="309"/>
        <v>5.41</v>
      </c>
      <c r="T987" s="216" t="s">
        <v>48</v>
      </c>
      <c r="U987" s="196" t="str">
        <f t="shared" si="307"/>
        <v>5.41 Hrs</v>
      </c>
    </row>
    <row r="988" spans="3:21" s="185" customFormat="1" ht="20.25" customHeight="1">
      <c r="C988" s="198"/>
      <c r="D988" s="203">
        <f t="shared" si="335"/>
        <v>988</v>
      </c>
      <c r="E988" s="207" t="s">
        <v>367</v>
      </c>
      <c r="F988" s="211">
        <f t="shared" si="351"/>
        <v>987</v>
      </c>
      <c r="G988" s="206" t="s">
        <v>61</v>
      </c>
      <c r="H988" s="206"/>
      <c r="I988" s="224">
        <v>18</v>
      </c>
      <c r="J988" s="208" t="str">
        <f>J987</f>
        <v>1560 mm id</v>
      </c>
      <c r="K988" s="234">
        <v>1</v>
      </c>
      <c r="L988" s="208" t="s">
        <v>81</v>
      </c>
      <c r="M988" s="227">
        <f t="shared" si="352"/>
        <v>4.9015199999999997</v>
      </c>
      <c r="N988" s="208" t="s">
        <v>249</v>
      </c>
      <c r="O988" s="246">
        <f>VLOOKUP(I988,BM!$A$2:$X$104,20,FALSE)</f>
        <v>0.5</v>
      </c>
      <c r="P988" s="208" t="s">
        <v>112</v>
      </c>
      <c r="Q988" s="240">
        <f t="shared" si="350"/>
        <v>2.4507599999999998</v>
      </c>
      <c r="R988" s="239">
        <v>1</v>
      </c>
      <c r="S988" s="240">
        <f t="shared" si="309"/>
        <v>3.45</v>
      </c>
      <c r="T988" s="216" t="s">
        <v>48</v>
      </c>
      <c r="U988" s="196" t="str">
        <f t="shared" ref="U988:U1051" si="353">CONCATENATE(S988," ",T988)</f>
        <v>3.45 Hrs</v>
      </c>
    </row>
    <row r="989" spans="3:21" s="185" customFormat="1" ht="20.25" customHeight="1">
      <c r="C989" s="198">
        <f>D989</f>
        <v>989</v>
      </c>
      <c r="D989" s="203">
        <f t="shared" si="335"/>
        <v>989</v>
      </c>
      <c r="E989" s="204" t="s">
        <v>368</v>
      </c>
      <c r="F989" s="210">
        <f>D983</f>
        <v>983</v>
      </c>
      <c r="G989" s="206"/>
      <c r="H989" s="206"/>
      <c r="I989" s="208"/>
      <c r="J989" s="208"/>
      <c r="K989" s="234"/>
      <c r="L989" s="208"/>
      <c r="M989" s="217"/>
      <c r="N989" s="208"/>
      <c r="O989" s="218"/>
      <c r="P989" s="208"/>
      <c r="Q989" s="240"/>
      <c r="R989" s="239"/>
      <c r="S989" s="240"/>
      <c r="T989" s="216"/>
      <c r="U989" s="196"/>
    </row>
    <row r="990" spans="3:21" s="185" customFormat="1" ht="20.25" customHeight="1">
      <c r="C990" s="198"/>
      <c r="D990" s="203">
        <f t="shared" si="335"/>
        <v>990</v>
      </c>
      <c r="E990" s="207" t="s">
        <v>369</v>
      </c>
      <c r="F990" s="211"/>
      <c r="G990" s="206" t="s">
        <v>348</v>
      </c>
      <c r="H990" s="206"/>
      <c r="I990" s="224">
        <v>18</v>
      </c>
      <c r="J990" s="208" t="str">
        <f>J988</f>
        <v>1560 mm id</v>
      </c>
      <c r="K990" s="234">
        <v>1</v>
      </c>
      <c r="L990" s="208" t="s">
        <v>81</v>
      </c>
      <c r="M990" s="217">
        <v>1</v>
      </c>
      <c r="N990" s="208" t="s">
        <v>81</v>
      </c>
      <c r="O990" s="218">
        <v>4</v>
      </c>
      <c r="P990" s="208" t="s">
        <v>112</v>
      </c>
      <c r="Q990" s="240">
        <f t="shared" ref="Q990:Q992" si="354">M990*O990</f>
        <v>4</v>
      </c>
      <c r="R990" s="239">
        <v>1</v>
      </c>
      <c r="S990" s="240">
        <f t="shared" ref="S990:S1052" si="355">ROUND(Q990+R990,2)</f>
        <v>5</v>
      </c>
      <c r="T990" s="216" t="s">
        <v>48</v>
      </c>
      <c r="U990" s="196" t="str">
        <f t="shared" si="353"/>
        <v>5 Hrs</v>
      </c>
    </row>
    <row r="991" spans="3:21" s="185" customFormat="1" ht="20.25" customHeight="1">
      <c r="C991" s="198"/>
      <c r="D991" s="203">
        <f t="shared" si="335"/>
        <v>991</v>
      </c>
      <c r="E991" s="207" t="s">
        <v>370</v>
      </c>
      <c r="F991" s="211">
        <f t="shared" ref="F991:F992" si="356">D990</f>
        <v>990</v>
      </c>
      <c r="G991" s="206" t="s">
        <v>348</v>
      </c>
      <c r="H991" s="206"/>
      <c r="I991" s="224">
        <v>18</v>
      </c>
      <c r="J991" s="208" t="str">
        <f>J990</f>
        <v>1560 mm id</v>
      </c>
      <c r="K991" s="234">
        <v>1</v>
      </c>
      <c r="L991" s="208" t="s">
        <v>81</v>
      </c>
      <c r="M991" s="217">
        <v>1</v>
      </c>
      <c r="N991" s="208" t="s">
        <v>81</v>
      </c>
      <c r="O991" s="218">
        <v>4</v>
      </c>
      <c r="P991" s="208" t="s">
        <v>112</v>
      </c>
      <c r="Q991" s="240">
        <f t="shared" si="354"/>
        <v>4</v>
      </c>
      <c r="R991" s="239">
        <v>1</v>
      </c>
      <c r="S991" s="240">
        <f t="shared" si="355"/>
        <v>5</v>
      </c>
      <c r="T991" s="216" t="s">
        <v>48</v>
      </c>
      <c r="U991" s="196" t="str">
        <f t="shared" si="353"/>
        <v>5 Hrs</v>
      </c>
    </row>
    <row r="992" spans="3:21" s="185" customFormat="1" ht="20.25" customHeight="1">
      <c r="C992" s="198"/>
      <c r="D992" s="203">
        <f t="shared" si="335"/>
        <v>992</v>
      </c>
      <c r="E992" s="207" t="s">
        <v>370</v>
      </c>
      <c r="F992" s="211">
        <f t="shared" si="356"/>
        <v>991</v>
      </c>
      <c r="G992" s="206" t="s">
        <v>348</v>
      </c>
      <c r="H992" s="206"/>
      <c r="I992" s="224">
        <v>18</v>
      </c>
      <c r="J992" s="208" t="str">
        <f>J991</f>
        <v>1560 mm id</v>
      </c>
      <c r="K992" s="234">
        <v>1</v>
      </c>
      <c r="L992" s="208" t="s">
        <v>81</v>
      </c>
      <c r="M992" s="217">
        <v>1</v>
      </c>
      <c r="N992" s="208" t="s">
        <v>81</v>
      </c>
      <c r="O992" s="218">
        <v>4</v>
      </c>
      <c r="P992" s="208" t="s">
        <v>112</v>
      </c>
      <c r="Q992" s="240">
        <f t="shared" si="354"/>
        <v>4</v>
      </c>
      <c r="R992" s="239">
        <v>1</v>
      </c>
      <c r="S992" s="240">
        <f t="shared" si="355"/>
        <v>5</v>
      </c>
      <c r="T992" s="216" t="s">
        <v>48</v>
      </c>
      <c r="U992" s="196" t="str">
        <f t="shared" si="353"/>
        <v>5 Hrs</v>
      </c>
    </row>
    <row r="993" spans="3:21" s="185" customFormat="1" ht="20.25" customHeight="1">
      <c r="C993" s="198">
        <f>D993</f>
        <v>993</v>
      </c>
      <c r="D993" s="203">
        <f t="shared" si="335"/>
        <v>993</v>
      </c>
      <c r="E993" s="204" t="s">
        <v>371</v>
      </c>
      <c r="F993" s="210">
        <f>D989</f>
        <v>989</v>
      </c>
      <c r="G993" s="206"/>
      <c r="H993" s="206"/>
      <c r="I993" s="208"/>
      <c r="J993" s="208"/>
      <c r="K993" s="234"/>
      <c r="L993" s="208"/>
      <c r="M993" s="217"/>
      <c r="N993" s="208"/>
      <c r="O993" s="218"/>
      <c r="P993" s="208"/>
      <c r="Q993" s="240"/>
      <c r="R993" s="239"/>
      <c r="S993" s="240"/>
      <c r="T993" s="216"/>
      <c r="U993" s="196"/>
    </row>
    <row r="994" spans="3:21" s="185" customFormat="1" ht="20.25" customHeight="1">
      <c r="C994" s="198"/>
      <c r="D994" s="203">
        <f t="shared" si="335"/>
        <v>994</v>
      </c>
      <c r="E994" s="207" t="s">
        <v>372</v>
      </c>
      <c r="F994" s="211"/>
      <c r="G994" s="206" t="s">
        <v>52</v>
      </c>
      <c r="H994" s="206"/>
      <c r="I994" s="224">
        <v>18</v>
      </c>
      <c r="J994" s="234" t="s">
        <v>373</v>
      </c>
      <c r="K994" s="234">
        <v>1</v>
      </c>
      <c r="L994" s="208" t="s">
        <v>39</v>
      </c>
      <c r="M994" s="227">
        <f t="shared" ref="M994:M995" si="357">LEFT(J994,SEARCH(" ",J994,1)-1)*3.142*K994*0.001</f>
        <v>3.0540240000000001</v>
      </c>
      <c r="N994" s="208" t="s">
        <v>249</v>
      </c>
      <c r="O994" s="246">
        <f>VLOOKUP(I994,BM!$A$2:$X$104,2,FALSE)</f>
        <v>0.1</v>
      </c>
      <c r="P994" s="208" t="s">
        <v>112</v>
      </c>
      <c r="Q994" s="240">
        <f t="shared" ref="Q994:Q996" si="358">M994*O994</f>
        <v>0.30540240000000002</v>
      </c>
      <c r="R994" s="239">
        <v>1</v>
      </c>
      <c r="S994" s="240">
        <f t="shared" si="355"/>
        <v>1.31</v>
      </c>
      <c r="T994" s="216" t="s">
        <v>48</v>
      </c>
      <c r="U994" s="196" t="str">
        <f t="shared" si="353"/>
        <v>1.31 Hrs</v>
      </c>
    </row>
    <row r="995" spans="3:21" s="185" customFormat="1" ht="20.25" customHeight="1">
      <c r="C995" s="198"/>
      <c r="D995" s="203">
        <f t="shared" si="335"/>
        <v>995</v>
      </c>
      <c r="E995" s="207" t="s">
        <v>372</v>
      </c>
      <c r="F995" s="211">
        <f t="shared" ref="F995" si="359">D994</f>
        <v>994</v>
      </c>
      <c r="G995" s="206" t="s">
        <v>52</v>
      </c>
      <c r="H995" s="206"/>
      <c r="I995" s="224">
        <v>18</v>
      </c>
      <c r="J995" s="208" t="str">
        <f>J994</f>
        <v>972 mm lip od</v>
      </c>
      <c r="K995" s="234">
        <v>1</v>
      </c>
      <c r="L995" s="208" t="s">
        <v>39</v>
      </c>
      <c r="M995" s="227">
        <f t="shared" si="357"/>
        <v>3.0540240000000001</v>
      </c>
      <c r="N995" s="208" t="s">
        <v>249</v>
      </c>
      <c r="O995" s="246">
        <f>VLOOKUP(I995,BM!$A$2:$X$104,2,FALSE)</f>
        <v>0.1</v>
      </c>
      <c r="P995" s="208" t="s">
        <v>112</v>
      </c>
      <c r="Q995" s="240">
        <f t="shared" si="358"/>
        <v>0.30540240000000002</v>
      </c>
      <c r="R995" s="239">
        <v>1</v>
      </c>
      <c r="S995" s="240">
        <f t="shared" si="355"/>
        <v>1.31</v>
      </c>
      <c r="T995" s="216" t="s">
        <v>48</v>
      </c>
      <c r="U995" s="196" t="str">
        <f t="shared" si="353"/>
        <v>1.31 Hrs</v>
      </c>
    </row>
    <row r="996" spans="3:21" s="185" customFormat="1" ht="20.25" customHeight="1">
      <c r="C996" s="198">
        <f t="shared" ref="C996:C997" si="360">D996</f>
        <v>996</v>
      </c>
      <c r="D996" s="203">
        <f t="shared" si="335"/>
        <v>996</v>
      </c>
      <c r="E996" s="207" t="s">
        <v>109</v>
      </c>
      <c r="F996" s="211">
        <f>D993</f>
        <v>993</v>
      </c>
      <c r="G996" s="206" t="s">
        <v>52</v>
      </c>
      <c r="H996" s="206"/>
      <c r="I996" s="208"/>
      <c r="J996" s="208"/>
      <c r="K996" s="234">
        <v>2</v>
      </c>
      <c r="L996" s="208" t="s">
        <v>81</v>
      </c>
      <c r="M996" s="217">
        <v>2</v>
      </c>
      <c r="N996" s="208" t="s">
        <v>81</v>
      </c>
      <c r="O996" s="218">
        <v>0.5</v>
      </c>
      <c r="P996" s="208" t="s">
        <v>112</v>
      </c>
      <c r="Q996" s="240">
        <f t="shared" si="358"/>
        <v>1</v>
      </c>
      <c r="R996" s="239">
        <v>1</v>
      </c>
      <c r="S996" s="240">
        <f t="shared" si="355"/>
        <v>2</v>
      </c>
      <c r="T996" s="216" t="s">
        <v>48</v>
      </c>
      <c r="U996" s="196" t="str">
        <f t="shared" si="353"/>
        <v>2 Hrs</v>
      </c>
    </row>
    <row r="997" spans="3:21" s="185" customFormat="1" ht="20.25" customHeight="1">
      <c r="C997" s="198">
        <f t="shared" si="360"/>
        <v>997</v>
      </c>
      <c r="D997" s="203">
        <f t="shared" si="335"/>
        <v>997</v>
      </c>
      <c r="E997" s="204" t="s">
        <v>374</v>
      </c>
      <c r="F997" s="210">
        <f>D996</f>
        <v>996</v>
      </c>
      <c r="G997" s="206"/>
      <c r="H997" s="206"/>
      <c r="I997" s="208"/>
      <c r="J997" s="208"/>
      <c r="K997" s="234"/>
      <c r="L997" s="208"/>
      <c r="M997" s="217"/>
      <c r="N997" s="208"/>
      <c r="O997" s="218"/>
      <c r="P997" s="208"/>
      <c r="Q997" s="240"/>
      <c r="R997" s="239"/>
      <c r="S997" s="240"/>
      <c r="T997" s="216"/>
      <c r="U997" s="196"/>
    </row>
    <row r="998" spans="3:21" s="185" customFormat="1" ht="20.25" customHeight="1">
      <c r="C998" s="198"/>
      <c r="D998" s="203">
        <f t="shared" si="335"/>
        <v>998</v>
      </c>
      <c r="E998" s="207" t="s">
        <v>372</v>
      </c>
      <c r="F998" s="211"/>
      <c r="G998" s="206" t="s">
        <v>61</v>
      </c>
      <c r="H998" s="206"/>
      <c r="I998" s="224">
        <v>18</v>
      </c>
      <c r="J998" s="208" t="str">
        <f>J995</f>
        <v>972 mm lip od</v>
      </c>
      <c r="K998" s="234">
        <v>1</v>
      </c>
      <c r="L998" s="208" t="s">
        <v>39</v>
      </c>
      <c r="M998" s="227">
        <f t="shared" ref="M998:M999" si="361">LEFT(J998,SEARCH(" ",J998,1)-1)*3.142*K998*0.001</f>
        <v>3.0540240000000001</v>
      </c>
      <c r="N998" s="208" t="s">
        <v>249</v>
      </c>
      <c r="O998" s="246">
        <f>VLOOKUP(I998,BM!$A$2:$X$104,6,FALSE)</f>
        <v>1</v>
      </c>
      <c r="P998" s="208" t="s">
        <v>112</v>
      </c>
      <c r="Q998" s="240">
        <f t="shared" ref="Q998:Q1000" si="362">M998*O998</f>
        <v>3.0540240000000001</v>
      </c>
      <c r="R998" s="239">
        <v>1</v>
      </c>
      <c r="S998" s="240">
        <f t="shared" si="355"/>
        <v>4.05</v>
      </c>
      <c r="T998" s="216" t="s">
        <v>48</v>
      </c>
      <c r="U998" s="196" t="str">
        <f t="shared" si="353"/>
        <v>4.05 Hrs</v>
      </c>
    </row>
    <row r="999" spans="3:21" s="185" customFormat="1" ht="20.25" customHeight="1">
      <c r="C999" s="198"/>
      <c r="D999" s="203">
        <f t="shared" si="335"/>
        <v>999</v>
      </c>
      <c r="E999" s="207" t="s">
        <v>372</v>
      </c>
      <c r="F999" s="211">
        <f t="shared" ref="F999:F1000" si="363">D998</f>
        <v>998</v>
      </c>
      <c r="G999" s="206" t="s">
        <v>61</v>
      </c>
      <c r="H999" s="206"/>
      <c r="I999" s="224">
        <v>18</v>
      </c>
      <c r="J999" s="208" t="str">
        <f>J998</f>
        <v>972 mm lip od</v>
      </c>
      <c r="K999" s="234">
        <v>1</v>
      </c>
      <c r="L999" s="208" t="s">
        <v>39</v>
      </c>
      <c r="M999" s="227">
        <f t="shared" si="361"/>
        <v>3.0540240000000001</v>
      </c>
      <c r="N999" s="208" t="s">
        <v>249</v>
      </c>
      <c r="O999" s="246">
        <f>VLOOKUP(I999,BM!$A$2:$X$104,6,FALSE)</f>
        <v>1</v>
      </c>
      <c r="P999" s="208" t="s">
        <v>112</v>
      </c>
      <c r="Q999" s="240">
        <f t="shared" si="362"/>
        <v>3.0540240000000001</v>
      </c>
      <c r="R999" s="239">
        <v>1</v>
      </c>
      <c r="S999" s="240">
        <f t="shared" si="355"/>
        <v>4.05</v>
      </c>
      <c r="T999" s="216" t="s">
        <v>48</v>
      </c>
      <c r="U999" s="196" t="str">
        <f t="shared" si="353"/>
        <v>4.05 Hrs</v>
      </c>
    </row>
    <row r="1000" spans="3:21" s="185" customFormat="1" ht="20.25" customHeight="1">
      <c r="C1000" s="198"/>
      <c r="D1000" s="203">
        <f t="shared" si="335"/>
        <v>1000</v>
      </c>
      <c r="E1000" s="207" t="s">
        <v>109</v>
      </c>
      <c r="F1000" s="211">
        <f t="shared" si="363"/>
        <v>999</v>
      </c>
      <c r="G1000" s="206"/>
      <c r="H1000" s="206"/>
      <c r="I1000" s="208"/>
      <c r="J1000" s="208"/>
      <c r="K1000" s="234">
        <v>1</v>
      </c>
      <c r="L1000" s="208" t="s">
        <v>39</v>
      </c>
      <c r="M1000" s="217">
        <v>2</v>
      </c>
      <c r="N1000" s="208" t="s">
        <v>81</v>
      </c>
      <c r="O1000" s="218">
        <v>0.5</v>
      </c>
      <c r="P1000" s="208" t="s">
        <v>112</v>
      </c>
      <c r="Q1000" s="240">
        <f t="shared" si="362"/>
        <v>1</v>
      </c>
      <c r="R1000" s="239">
        <v>1</v>
      </c>
      <c r="S1000" s="240">
        <f t="shared" si="355"/>
        <v>2</v>
      </c>
      <c r="T1000" s="216" t="s">
        <v>48</v>
      </c>
      <c r="U1000" s="196" t="str">
        <f t="shared" si="353"/>
        <v>2 Hrs</v>
      </c>
    </row>
    <row r="1001" spans="3:21" s="185" customFormat="1" ht="20.25" customHeight="1">
      <c r="C1001" s="198">
        <f>D1001</f>
        <v>1001</v>
      </c>
      <c r="D1001" s="203">
        <f t="shared" si="335"/>
        <v>1001</v>
      </c>
      <c r="E1001" s="204" t="s">
        <v>375</v>
      </c>
      <c r="F1001" s="210">
        <f>D997</f>
        <v>997</v>
      </c>
      <c r="G1001" s="206"/>
      <c r="H1001" s="206"/>
      <c r="I1001" s="208"/>
      <c r="J1001" s="208"/>
      <c r="K1001" s="234"/>
      <c r="L1001" s="208"/>
      <c r="M1001" s="217"/>
      <c r="N1001" s="208"/>
      <c r="O1001" s="218"/>
      <c r="P1001" s="208"/>
      <c r="Q1001" s="240"/>
      <c r="R1001" s="239"/>
      <c r="S1001" s="240"/>
      <c r="T1001" s="216"/>
      <c r="U1001" s="196"/>
    </row>
    <row r="1002" spans="3:21" s="185" customFormat="1" ht="20.25" customHeight="1">
      <c r="C1002" s="198"/>
      <c r="D1002" s="203">
        <f t="shared" si="335"/>
        <v>1002</v>
      </c>
      <c r="E1002" s="207" t="s">
        <v>372</v>
      </c>
      <c r="F1002" s="211"/>
      <c r="G1002" s="206" t="s">
        <v>299</v>
      </c>
      <c r="H1002" s="206"/>
      <c r="I1002" s="208"/>
      <c r="J1002" s="234" t="s">
        <v>376</v>
      </c>
      <c r="K1002" s="234">
        <v>1</v>
      </c>
      <c r="L1002" s="208" t="s">
        <v>39</v>
      </c>
      <c r="M1002" s="217">
        <v>1</v>
      </c>
      <c r="N1002" s="208" t="s">
        <v>249</v>
      </c>
      <c r="O1002" s="246">
        <f>VLOOKUP(J1002,BM!$A$2:$X$104,11,FALSE)</f>
        <v>4</v>
      </c>
      <c r="P1002" s="208" t="s">
        <v>112</v>
      </c>
      <c r="Q1002" s="240">
        <f t="shared" ref="Q1002:Q1004" si="364">M1002*O1002</f>
        <v>4</v>
      </c>
      <c r="R1002" s="239">
        <v>1</v>
      </c>
      <c r="S1002" s="240">
        <f t="shared" si="355"/>
        <v>5</v>
      </c>
      <c r="T1002" s="216" t="s">
        <v>48</v>
      </c>
      <c r="U1002" s="196" t="str">
        <f t="shared" si="353"/>
        <v>5 Hrs</v>
      </c>
    </row>
    <row r="1003" spans="3:21" s="185" customFormat="1" ht="20.25" customHeight="1">
      <c r="C1003" s="198"/>
      <c r="D1003" s="203">
        <f t="shared" si="335"/>
        <v>1003</v>
      </c>
      <c r="E1003" s="207" t="s">
        <v>372</v>
      </c>
      <c r="F1003" s="211">
        <f t="shared" ref="F1003:F1004" si="365">D1002</f>
        <v>1002</v>
      </c>
      <c r="G1003" s="206" t="s">
        <v>299</v>
      </c>
      <c r="H1003" s="206"/>
      <c r="I1003" s="208"/>
      <c r="J1003" s="234" t="s">
        <v>376</v>
      </c>
      <c r="K1003" s="234">
        <v>1</v>
      </c>
      <c r="L1003" s="208" t="s">
        <v>39</v>
      </c>
      <c r="M1003" s="217">
        <v>1</v>
      </c>
      <c r="N1003" s="208" t="s">
        <v>249</v>
      </c>
      <c r="O1003" s="246">
        <f>VLOOKUP(J1003,BM!$A$2:$X$104,11,FALSE)</f>
        <v>4</v>
      </c>
      <c r="P1003" s="208" t="s">
        <v>112</v>
      </c>
      <c r="Q1003" s="240">
        <f t="shared" si="364"/>
        <v>4</v>
      </c>
      <c r="R1003" s="239">
        <v>1</v>
      </c>
      <c r="S1003" s="240">
        <f t="shared" si="355"/>
        <v>5</v>
      </c>
      <c r="T1003" s="216" t="s">
        <v>48</v>
      </c>
      <c r="U1003" s="196" t="str">
        <f t="shared" si="353"/>
        <v>5 Hrs</v>
      </c>
    </row>
    <row r="1004" spans="3:21" s="185" customFormat="1" ht="20.25" customHeight="1">
      <c r="C1004" s="198"/>
      <c r="D1004" s="203">
        <f t="shared" si="335"/>
        <v>1004</v>
      </c>
      <c r="E1004" s="207" t="s">
        <v>377</v>
      </c>
      <c r="F1004" s="211">
        <f t="shared" si="365"/>
        <v>1003</v>
      </c>
      <c r="G1004" s="206"/>
      <c r="H1004" s="206"/>
      <c r="I1004" s="208"/>
      <c r="J1004" s="208"/>
      <c r="K1004" s="234">
        <v>2</v>
      </c>
      <c r="L1004" s="208" t="s">
        <v>39</v>
      </c>
      <c r="M1004" s="217">
        <v>1</v>
      </c>
      <c r="N1004" s="208" t="s">
        <v>81</v>
      </c>
      <c r="O1004" s="218">
        <v>1</v>
      </c>
      <c r="P1004" s="208" t="s">
        <v>112</v>
      </c>
      <c r="Q1004" s="240">
        <f t="shared" si="364"/>
        <v>1</v>
      </c>
      <c r="R1004" s="239">
        <v>1</v>
      </c>
      <c r="S1004" s="240">
        <f t="shared" si="355"/>
        <v>2</v>
      </c>
      <c r="T1004" s="216" t="s">
        <v>48</v>
      </c>
      <c r="U1004" s="196" t="str">
        <f t="shared" si="353"/>
        <v>2 Hrs</v>
      </c>
    </row>
    <row r="1005" spans="3:21" s="185" customFormat="1" ht="20.25" customHeight="1">
      <c r="C1005" s="198">
        <f>D1005</f>
        <v>1005</v>
      </c>
      <c r="D1005" s="203">
        <f t="shared" si="335"/>
        <v>1005</v>
      </c>
      <c r="E1005" s="204" t="s">
        <v>378</v>
      </c>
      <c r="F1005" s="210">
        <f>D1001</f>
        <v>1001</v>
      </c>
      <c r="G1005" s="206"/>
      <c r="H1005" s="206"/>
      <c r="I1005" s="208"/>
      <c r="J1005" s="208"/>
      <c r="K1005" s="234"/>
      <c r="L1005" s="208"/>
      <c r="M1005" s="217"/>
      <c r="N1005" s="208"/>
      <c r="O1005" s="218"/>
      <c r="P1005" s="208"/>
      <c r="Q1005" s="240"/>
      <c r="R1005" s="239"/>
      <c r="S1005" s="240"/>
      <c r="T1005" s="216"/>
      <c r="U1005" s="196"/>
    </row>
    <row r="1006" spans="3:21" s="185" customFormat="1" ht="20.25" customHeight="1">
      <c r="C1006" s="198"/>
      <c r="D1006" s="203">
        <f t="shared" si="335"/>
        <v>1006</v>
      </c>
      <c r="E1006" s="207" t="s">
        <v>372</v>
      </c>
      <c r="F1006" s="211"/>
      <c r="G1006" s="206" t="s">
        <v>44</v>
      </c>
      <c r="H1006" s="206"/>
      <c r="I1006" s="208"/>
      <c r="J1006" s="234" t="s">
        <v>376</v>
      </c>
      <c r="K1006" s="234">
        <v>1</v>
      </c>
      <c r="L1006" s="208" t="s">
        <v>39</v>
      </c>
      <c r="M1006" s="217">
        <v>1</v>
      </c>
      <c r="N1006" s="208" t="s">
        <v>48</v>
      </c>
      <c r="O1006" s="218">
        <v>1</v>
      </c>
      <c r="P1006" s="208" t="s">
        <v>112</v>
      </c>
      <c r="Q1006" s="240">
        <f t="shared" ref="Q1006:Q1008" si="366">M1006*O1006</f>
        <v>1</v>
      </c>
      <c r="R1006" s="239">
        <v>1</v>
      </c>
      <c r="S1006" s="240">
        <f t="shared" si="355"/>
        <v>2</v>
      </c>
      <c r="T1006" s="216" t="s">
        <v>48</v>
      </c>
      <c r="U1006" s="196" t="str">
        <f t="shared" si="353"/>
        <v>2 Hrs</v>
      </c>
    </row>
    <row r="1007" spans="3:21" s="185" customFormat="1" ht="20.25" customHeight="1">
      <c r="C1007" s="198"/>
      <c r="D1007" s="203">
        <f t="shared" si="335"/>
        <v>1007</v>
      </c>
      <c r="E1007" s="207" t="s">
        <v>372</v>
      </c>
      <c r="F1007" s="211">
        <f t="shared" ref="F1007:F1008" si="367">D1006</f>
        <v>1006</v>
      </c>
      <c r="G1007" s="206" t="s">
        <v>44</v>
      </c>
      <c r="H1007" s="206"/>
      <c r="I1007" s="208"/>
      <c r="J1007" s="234" t="s">
        <v>376</v>
      </c>
      <c r="K1007" s="234">
        <v>1</v>
      </c>
      <c r="L1007" s="208" t="s">
        <v>39</v>
      </c>
      <c r="M1007" s="217">
        <v>1</v>
      </c>
      <c r="N1007" s="208" t="s">
        <v>48</v>
      </c>
      <c r="O1007" s="218">
        <v>1</v>
      </c>
      <c r="P1007" s="208" t="s">
        <v>112</v>
      </c>
      <c r="Q1007" s="240">
        <f t="shared" si="366"/>
        <v>1</v>
      </c>
      <c r="R1007" s="239">
        <v>1</v>
      </c>
      <c r="S1007" s="240">
        <f t="shared" si="355"/>
        <v>2</v>
      </c>
      <c r="T1007" s="216" t="s">
        <v>48</v>
      </c>
      <c r="U1007" s="196" t="str">
        <f t="shared" si="353"/>
        <v>2 Hrs</v>
      </c>
    </row>
    <row r="1008" spans="3:21" s="185" customFormat="1" ht="20.25" customHeight="1">
      <c r="C1008" s="198"/>
      <c r="D1008" s="203">
        <f t="shared" si="335"/>
        <v>1008</v>
      </c>
      <c r="E1008" s="207" t="s">
        <v>377</v>
      </c>
      <c r="F1008" s="211">
        <f t="shared" si="367"/>
        <v>1007</v>
      </c>
      <c r="G1008" s="206" t="s">
        <v>44</v>
      </c>
      <c r="H1008" s="206"/>
      <c r="I1008" s="208"/>
      <c r="J1008" s="234" t="s">
        <v>376</v>
      </c>
      <c r="K1008" s="234">
        <v>2</v>
      </c>
      <c r="L1008" s="208" t="s">
        <v>39</v>
      </c>
      <c r="M1008" s="217">
        <v>1</v>
      </c>
      <c r="N1008" s="208" t="s">
        <v>48</v>
      </c>
      <c r="O1008" s="218">
        <v>1</v>
      </c>
      <c r="P1008" s="208" t="s">
        <v>112</v>
      </c>
      <c r="Q1008" s="240">
        <f t="shared" si="366"/>
        <v>1</v>
      </c>
      <c r="R1008" s="239">
        <v>1</v>
      </c>
      <c r="S1008" s="240">
        <f t="shared" si="355"/>
        <v>2</v>
      </c>
      <c r="T1008" s="216" t="s">
        <v>48</v>
      </c>
      <c r="U1008" s="196" t="str">
        <f t="shared" si="353"/>
        <v>2 Hrs</v>
      </c>
    </row>
    <row r="1009" spans="3:21" s="185" customFormat="1" ht="20.25" customHeight="1">
      <c r="C1009" s="198">
        <f>D1009</f>
        <v>1009</v>
      </c>
      <c r="D1009" s="203">
        <f t="shared" si="335"/>
        <v>1009</v>
      </c>
      <c r="E1009" s="204" t="s">
        <v>379</v>
      </c>
      <c r="F1009" s="210">
        <f>D1005</f>
        <v>1005</v>
      </c>
      <c r="G1009" s="206"/>
      <c r="H1009" s="206"/>
      <c r="I1009" s="208"/>
      <c r="J1009" s="208"/>
      <c r="K1009" s="234"/>
      <c r="L1009" s="208"/>
      <c r="M1009" s="217"/>
      <c r="N1009" s="208"/>
      <c r="O1009" s="218"/>
      <c r="P1009" s="208"/>
      <c r="Q1009" s="240"/>
      <c r="R1009" s="239"/>
      <c r="S1009" s="240"/>
      <c r="T1009" s="216"/>
      <c r="U1009" s="196"/>
    </row>
    <row r="1010" spans="3:21" s="185" customFormat="1" ht="20.25" customHeight="1">
      <c r="C1010" s="198"/>
      <c r="D1010" s="203">
        <f t="shared" si="335"/>
        <v>1010</v>
      </c>
      <c r="E1010" s="207" t="s">
        <v>380</v>
      </c>
      <c r="F1010" s="211"/>
      <c r="G1010" s="206" t="s">
        <v>37</v>
      </c>
      <c r="H1010" s="206"/>
      <c r="I1010" s="208"/>
      <c r="J1010" s="208"/>
      <c r="K1010" s="234">
        <v>1</v>
      </c>
      <c r="L1010" s="208" t="s">
        <v>39</v>
      </c>
      <c r="M1010" s="217">
        <v>1</v>
      </c>
      <c r="N1010" s="208" t="s">
        <v>81</v>
      </c>
      <c r="O1010" s="218">
        <v>1</v>
      </c>
      <c r="P1010" s="208" t="s">
        <v>162</v>
      </c>
      <c r="Q1010" s="240">
        <f t="shared" ref="Q1010:Q1017" si="368">M1010*O1010</f>
        <v>1</v>
      </c>
      <c r="R1010" s="239"/>
      <c r="S1010" s="240">
        <f t="shared" si="355"/>
        <v>1</v>
      </c>
      <c r="T1010" s="216" t="s">
        <v>48</v>
      </c>
      <c r="U1010" s="196" t="str">
        <f t="shared" si="353"/>
        <v>1 Hrs</v>
      </c>
    </row>
    <row r="1011" spans="3:21" s="185" customFormat="1" ht="20.25" customHeight="1">
      <c r="C1011" s="198"/>
      <c r="D1011" s="203">
        <f t="shared" si="335"/>
        <v>1011</v>
      </c>
      <c r="E1011" s="207" t="s">
        <v>381</v>
      </c>
      <c r="F1011" s="211">
        <f t="shared" ref="F1011:F1017" si="369">D1010</f>
        <v>1010</v>
      </c>
      <c r="G1011" s="206" t="s">
        <v>115</v>
      </c>
      <c r="H1011" s="206"/>
      <c r="I1011" s="224">
        <v>12</v>
      </c>
      <c r="J1011" s="208" t="str">
        <f>J999</f>
        <v>972 mm lip od</v>
      </c>
      <c r="K1011" s="234">
        <v>1</v>
      </c>
      <c r="L1011" s="208" t="s">
        <v>39</v>
      </c>
      <c r="M1011" s="227">
        <f t="shared" ref="M1011:M1017" si="370">LEFT(J1011,SEARCH(" ",J1011,1)-1)*3.142*K1011*0.001</f>
        <v>3.0540240000000001</v>
      </c>
      <c r="N1011" s="208" t="s">
        <v>249</v>
      </c>
      <c r="O1011" s="246">
        <f>VLOOKUP(I1011,BM!$A$2:$X$104,17,FALSE)</f>
        <v>2.5</v>
      </c>
      <c r="P1011" s="208" t="s">
        <v>112</v>
      </c>
      <c r="Q1011" s="240">
        <f t="shared" si="368"/>
        <v>7.6350600000000002</v>
      </c>
      <c r="R1011" s="239">
        <v>1</v>
      </c>
      <c r="S1011" s="240">
        <f t="shared" si="355"/>
        <v>8.64</v>
      </c>
      <c r="T1011" s="216" t="s">
        <v>48</v>
      </c>
      <c r="U1011" s="196" t="str">
        <f t="shared" si="353"/>
        <v>8.64 Hrs</v>
      </c>
    </row>
    <row r="1012" spans="3:21" s="185" customFormat="1" ht="20.25" customHeight="1">
      <c r="C1012" s="198"/>
      <c r="D1012" s="203">
        <f t="shared" si="335"/>
        <v>1012</v>
      </c>
      <c r="E1012" s="207" t="s">
        <v>382</v>
      </c>
      <c r="F1012" s="211">
        <f t="shared" si="369"/>
        <v>1011</v>
      </c>
      <c r="G1012" s="206" t="s">
        <v>115</v>
      </c>
      <c r="H1012" s="206"/>
      <c r="I1012" s="224">
        <v>12</v>
      </c>
      <c r="J1012" s="208" t="str">
        <f t="shared" ref="J1012:J1017" si="371">J1011</f>
        <v>972 mm lip od</v>
      </c>
      <c r="K1012" s="234">
        <v>1</v>
      </c>
      <c r="L1012" s="208" t="s">
        <v>39</v>
      </c>
      <c r="M1012" s="227">
        <f t="shared" si="370"/>
        <v>3.0540240000000001</v>
      </c>
      <c r="N1012" s="208" t="s">
        <v>249</v>
      </c>
      <c r="O1012" s="246">
        <f>VLOOKUP(I1012,BM!$A$2:$X$104,17,FALSE)</f>
        <v>2.5</v>
      </c>
      <c r="P1012" s="208" t="s">
        <v>112</v>
      </c>
      <c r="Q1012" s="240">
        <f t="shared" si="368"/>
        <v>7.6350600000000002</v>
      </c>
      <c r="R1012" s="239">
        <v>1</v>
      </c>
      <c r="S1012" s="240">
        <f t="shared" si="355"/>
        <v>8.64</v>
      </c>
      <c r="T1012" s="216" t="s">
        <v>48</v>
      </c>
      <c r="U1012" s="196" t="str">
        <f t="shared" si="353"/>
        <v>8.64 Hrs</v>
      </c>
    </row>
    <row r="1013" spans="3:21" s="185" customFormat="1" ht="20.25" customHeight="1">
      <c r="C1013" s="198"/>
      <c r="D1013" s="203">
        <f t="shared" si="335"/>
        <v>1013</v>
      </c>
      <c r="E1013" s="207" t="s">
        <v>383</v>
      </c>
      <c r="F1013" s="211">
        <f t="shared" si="369"/>
        <v>1012</v>
      </c>
      <c r="G1013" s="206" t="s">
        <v>115</v>
      </c>
      <c r="H1013" s="206"/>
      <c r="I1013" s="224">
        <v>12</v>
      </c>
      <c r="J1013" s="208" t="str">
        <f t="shared" si="371"/>
        <v>972 mm lip od</v>
      </c>
      <c r="K1013" s="234">
        <v>1</v>
      </c>
      <c r="L1013" s="208" t="s">
        <v>39</v>
      </c>
      <c r="M1013" s="227">
        <f t="shared" si="370"/>
        <v>3.0540240000000001</v>
      </c>
      <c r="N1013" s="208" t="s">
        <v>249</v>
      </c>
      <c r="O1013" s="246">
        <f>VLOOKUP(I1013,BM!$A$2:$X$104,17,FALSE)</f>
        <v>2.5</v>
      </c>
      <c r="P1013" s="208" t="s">
        <v>112</v>
      </c>
      <c r="Q1013" s="240">
        <f t="shared" si="368"/>
        <v>7.6350600000000002</v>
      </c>
      <c r="R1013" s="239">
        <v>1</v>
      </c>
      <c r="S1013" s="240">
        <f t="shared" si="355"/>
        <v>8.64</v>
      </c>
      <c r="T1013" s="216" t="s">
        <v>48</v>
      </c>
      <c r="U1013" s="196" t="str">
        <f t="shared" si="353"/>
        <v>8.64 Hrs</v>
      </c>
    </row>
    <row r="1014" spans="3:21" s="185" customFormat="1" ht="20.25" customHeight="1">
      <c r="C1014" s="198"/>
      <c r="D1014" s="203">
        <f t="shared" si="335"/>
        <v>1014</v>
      </c>
      <c r="E1014" s="207" t="s">
        <v>384</v>
      </c>
      <c r="F1014" s="211">
        <f t="shared" si="369"/>
        <v>1013</v>
      </c>
      <c r="G1014" s="206" t="s">
        <v>44</v>
      </c>
      <c r="H1014" s="206"/>
      <c r="I1014" s="224">
        <v>12</v>
      </c>
      <c r="J1014" s="208" t="str">
        <f t="shared" si="371"/>
        <v>972 mm lip od</v>
      </c>
      <c r="K1014" s="234">
        <v>2</v>
      </c>
      <c r="L1014" s="208" t="s">
        <v>39</v>
      </c>
      <c r="M1014" s="227">
        <f t="shared" si="370"/>
        <v>6.1080480000000001</v>
      </c>
      <c r="N1014" s="208" t="s">
        <v>249</v>
      </c>
      <c r="O1014" s="218">
        <v>1</v>
      </c>
      <c r="P1014" s="208" t="s">
        <v>112</v>
      </c>
      <c r="Q1014" s="240">
        <f t="shared" si="368"/>
        <v>6.1080480000000001</v>
      </c>
      <c r="R1014" s="239">
        <v>1</v>
      </c>
      <c r="S1014" s="240">
        <f t="shared" si="355"/>
        <v>7.11</v>
      </c>
      <c r="T1014" s="216" t="s">
        <v>48</v>
      </c>
      <c r="U1014" s="196" t="str">
        <f t="shared" si="353"/>
        <v>7.11 Hrs</v>
      </c>
    </row>
    <row r="1015" spans="3:21" s="185" customFormat="1" ht="20.25" customHeight="1">
      <c r="C1015" s="198"/>
      <c r="D1015" s="203">
        <f t="shared" si="335"/>
        <v>1015</v>
      </c>
      <c r="E1015" s="207" t="s">
        <v>385</v>
      </c>
      <c r="F1015" s="211">
        <f t="shared" si="369"/>
        <v>1014</v>
      </c>
      <c r="G1015" s="206" t="s">
        <v>386</v>
      </c>
      <c r="H1015" s="206"/>
      <c r="I1015" s="224">
        <v>8</v>
      </c>
      <c r="J1015" s="208" t="str">
        <f t="shared" si="371"/>
        <v>972 mm lip od</v>
      </c>
      <c r="K1015" s="234">
        <v>1</v>
      </c>
      <c r="L1015" s="208" t="s">
        <v>39</v>
      </c>
      <c r="M1015" s="227">
        <f t="shared" si="370"/>
        <v>3.0540240000000001</v>
      </c>
      <c r="N1015" s="208" t="s">
        <v>249</v>
      </c>
      <c r="O1015" s="246">
        <f>VLOOKUP(I1015,BM!$A$2:$X$104,17,FALSE)</f>
        <v>1.36</v>
      </c>
      <c r="P1015" s="208" t="s">
        <v>112</v>
      </c>
      <c r="Q1015" s="240">
        <f t="shared" si="368"/>
        <v>4.1534726400000004</v>
      </c>
      <c r="R1015" s="239">
        <v>1</v>
      </c>
      <c r="S1015" s="240">
        <f t="shared" si="355"/>
        <v>5.15</v>
      </c>
      <c r="T1015" s="216" t="s">
        <v>48</v>
      </c>
      <c r="U1015" s="196" t="str">
        <f t="shared" si="353"/>
        <v>5.15 Hrs</v>
      </c>
    </row>
    <row r="1016" spans="3:21" s="185" customFormat="1" ht="20.25" customHeight="1">
      <c r="C1016" s="198"/>
      <c r="D1016" s="203">
        <f t="shared" si="335"/>
        <v>1016</v>
      </c>
      <c r="E1016" s="207" t="s">
        <v>387</v>
      </c>
      <c r="F1016" s="211">
        <f t="shared" si="369"/>
        <v>1015</v>
      </c>
      <c r="G1016" s="206" t="s">
        <v>386</v>
      </c>
      <c r="H1016" s="206"/>
      <c r="I1016" s="224">
        <v>8</v>
      </c>
      <c r="J1016" s="208" t="str">
        <f t="shared" si="371"/>
        <v>972 mm lip od</v>
      </c>
      <c r="K1016" s="234">
        <v>1</v>
      </c>
      <c r="L1016" s="208" t="s">
        <v>39</v>
      </c>
      <c r="M1016" s="227">
        <f t="shared" si="370"/>
        <v>3.0540240000000001</v>
      </c>
      <c r="N1016" s="208" t="s">
        <v>249</v>
      </c>
      <c r="O1016" s="246">
        <f>VLOOKUP(I1016,BM!$A$2:$X$104,17,FALSE)</f>
        <v>1.36</v>
      </c>
      <c r="P1016" s="208" t="s">
        <v>112</v>
      </c>
      <c r="Q1016" s="240">
        <f t="shared" si="368"/>
        <v>4.1534726400000004</v>
      </c>
      <c r="R1016" s="239">
        <v>1</v>
      </c>
      <c r="S1016" s="240">
        <f t="shared" si="355"/>
        <v>5.15</v>
      </c>
      <c r="T1016" s="216" t="s">
        <v>48</v>
      </c>
      <c r="U1016" s="196" t="str">
        <f t="shared" si="353"/>
        <v>5.15 Hrs</v>
      </c>
    </row>
    <row r="1017" spans="3:21" s="185" customFormat="1" ht="20.25" customHeight="1">
      <c r="C1017" s="198"/>
      <c r="D1017" s="203">
        <f t="shared" si="335"/>
        <v>1017</v>
      </c>
      <c r="E1017" s="207" t="s">
        <v>388</v>
      </c>
      <c r="F1017" s="211">
        <f t="shared" si="369"/>
        <v>1016</v>
      </c>
      <c r="G1017" s="206" t="s">
        <v>386</v>
      </c>
      <c r="H1017" s="206"/>
      <c r="I1017" s="224">
        <v>8</v>
      </c>
      <c r="J1017" s="208" t="str">
        <f t="shared" si="371"/>
        <v>972 mm lip od</v>
      </c>
      <c r="K1017" s="234">
        <v>0</v>
      </c>
      <c r="L1017" s="208" t="s">
        <v>39</v>
      </c>
      <c r="M1017" s="227">
        <f t="shared" si="370"/>
        <v>0</v>
      </c>
      <c r="N1017" s="208" t="s">
        <v>249</v>
      </c>
      <c r="O1017" s="246">
        <f>VLOOKUP(I1017,BM!$A$2:$X$104,17,FALSE)</f>
        <v>1.36</v>
      </c>
      <c r="P1017" s="208" t="s">
        <v>112</v>
      </c>
      <c r="Q1017" s="240">
        <f t="shared" si="368"/>
        <v>0</v>
      </c>
      <c r="R1017" s="239">
        <v>1</v>
      </c>
      <c r="S1017" s="240">
        <f t="shared" si="355"/>
        <v>1</v>
      </c>
      <c r="T1017" s="216" t="s">
        <v>48</v>
      </c>
      <c r="U1017" s="196" t="str">
        <f t="shared" si="353"/>
        <v>1 Hrs</v>
      </c>
    </row>
    <row r="1018" spans="3:21" s="185" customFormat="1" ht="20.25" customHeight="1">
      <c r="C1018" s="198">
        <f>D1018</f>
        <v>1018</v>
      </c>
      <c r="D1018" s="203">
        <f t="shared" si="335"/>
        <v>1018</v>
      </c>
      <c r="E1018" s="204" t="s">
        <v>389</v>
      </c>
      <c r="F1018" s="210">
        <f>D1009</f>
        <v>1009</v>
      </c>
      <c r="G1018" s="206"/>
      <c r="H1018" s="206"/>
      <c r="I1018" s="208"/>
      <c r="J1018" s="208"/>
      <c r="K1018" s="234"/>
      <c r="L1018" s="208"/>
      <c r="M1018" s="217"/>
      <c r="N1018" s="208"/>
      <c r="O1018" s="218"/>
      <c r="P1018" s="208"/>
      <c r="Q1018" s="240"/>
      <c r="R1018" s="239"/>
      <c r="S1018" s="240"/>
      <c r="T1018" s="216"/>
      <c r="U1018" s="196"/>
    </row>
    <row r="1019" spans="3:21" s="185" customFormat="1" ht="20.25" customHeight="1">
      <c r="C1019" s="198"/>
      <c r="D1019" s="203">
        <f t="shared" si="335"/>
        <v>1019</v>
      </c>
      <c r="E1019" s="207" t="s">
        <v>390</v>
      </c>
      <c r="F1019" s="211"/>
      <c r="G1019" s="206" t="s">
        <v>111</v>
      </c>
      <c r="H1019" s="206"/>
      <c r="I1019" s="224">
        <v>25</v>
      </c>
      <c r="J1019" s="225" t="s">
        <v>391</v>
      </c>
      <c r="K1019" s="234">
        <v>2</v>
      </c>
      <c r="L1019" s="208" t="s">
        <v>39</v>
      </c>
      <c r="M1019" s="227">
        <f>LEFT(J1019,SEARCH(" ",J1019,1)-1)*3.142*K1019*2*0.001</f>
        <v>20.058527999999999</v>
      </c>
      <c r="N1019" s="208" t="s">
        <v>81</v>
      </c>
      <c r="O1019" s="218">
        <v>0.5</v>
      </c>
      <c r="P1019" s="208" t="s">
        <v>162</v>
      </c>
      <c r="Q1019" s="240">
        <f t="shared" ref="Q1019:Q1024" si="372">M1019*O1019</f>
        <v>10.029264</v>
      </c>
      <c r="R1019" s="239">
        <v>1</v>
      </c>
      <c r="S1019" s="240">
        <f t="shared" si="355"/>
        <v>11.03</v>
      </c>
      <c r="T1019" s="216" t="s">
        <v>48</v>
      </c>
      <c r="U1019" s="196" t="str">
        <f t="shared" si="353"/>
        <v>11.03 Hrs</v>
      </c>
    </row>
    <row r="1020" spans="3:21" s="185" customFormat="1" ht="20.25" customHeight="1">
      <c r="C1020" s="198"/>
      <c r="D1020" s="203">
        <f t="shared" si="335"/>
        <v>1020</v>
      </c>
      <c r="E1020" s="207" t="s">
        <v>392</v>
      </c>
      <c r="F1020" s="211">
        <f t="shared" ref="F1020:F1024" si="373">D1019</f>
        <v>1019</v>
      </c>
      <c r="G1020" s="206" t="s">
        <v>156</v>
      </c>
      <c r="H1020" s="206"/>
      <c r="I1020" s="224">
        <v>12</v>
      </c>
      <c r="J1020" s="208" t="str">
        <f>J1019</f>
        <v>1596 mm od</v>
      </c>
      <c r="K1020" s="234">
        <v>2</v>
      </c>
      <c r="L1020" s="208" t="s">
        <v>249</v>
      </c>
      <c r="M1020" s="227">
        <f>LEFT(J1020,SEARCH(" ",J1020,1)-1)*3.142*K1020*2*0.001</f>
        <v>20.058527999999999</v>
      </c>
      <c r="N1020" s="208" t="s">
        <v>249</v>
      </c>
      <c r="O1020" s="246">
        <f>VLOOKUP(I1020,BM!$A$2:$X$104,22,FALSE)</f>
        <v>1.6</v>
      </c>
      <c r="P1020" s="208" t="s">
        <v>162</v>
      </c>
      <c r="Q1020" s="240">
        <f t="shared" si="372"/>
        <v>32.0936448</v>
      </c>
      <c r="R1020" s="239">
        <v>1</v>
      </c>
      <c r="S1020" s="240">
        <f t="shared" si="355"/>
        <v>33.090000000000003</v>
      </c>
      <c r="T1020" s="216" t="s">
        <v>48</v>
      </c>
      <c r="U1020" s="196" t="str">
        <f t="shared" si="353"/>
        <v>33.09 Hrs</v>
      </c>
    </row>
    <row r="1021" spans="3:21" s="185" customFormat="1" ht="20.25" customHeight="1">
      <c r="C1021" s="198"/>
      <c r="D1021" s="203">
        <f t="shared" si="335"/>
        <v>1021</v>
      </c>
      <c r="E1021" s="207" t="s">
        <v>393</v>
      </c>
      <c r="F1021" s="211">
        <f t="shared" si="373"/>
        <v>1020</v>
      </c>
      <c r="G1021" s="206" t="s">
        <v>394</v>
      </c>
      <c r="H1021" s="206"/>
      <c r="I1021" s="208"/>
      <c r="J1021" s="211" t="str">
        <f>J1020</f>
        <v>1596 mm od</v>
      </c>
      <c r="K1021" s="234">
        <v>2</v>
      </c>
      <c r="L1021" s="208" t="s">
        <v>81</v>
      </c>
      <c r="M1021" s="217">
        <f>K1021</f>
        <v>2</v>
      </c>
      <c r="N1021" s="208" t="s">
        <v>81</v>
      </c>
      <c r="O1021" s="218">
        <v>8</v>
      </c>
      <c r="P1021" s="208" t="s">
        <v>162</v>
      </c>
      <c r="Q1021" s="240">
        <f t="shared" si="372"/>
        <v>16</v>
      </c>
      <c r="R1021" s="239">
        <v>1</v>
      </c>
      <c r="S1021" s="240">
        <f t="shared" si="355"/>
        <v>17</v>
      </c>
      <c r="T1021" s="216" t="s">
        <v>48</v>
      </c>
      <c r="U1021" s="196" t="str">
        <f t="shared" si="353"/>
        <v>17 Hrs</v>
      </c>
    </row>
    <row r="1022" spans="3:21" s="185" customFormat="1" ht="20.25" customHeight="1">
      <c r="C1022" s="198"/>
      <c r="D1022" s="203">
        <f t="shared" si="335"/>
        <v>1022</v>
      </c>
      <c r="E1022" s="207" t="s">
        <v>395</v>
      </c>
      <c r="F1022" s="211">
        <f t="shared" si="373"/>
        <v>1021</v>
      </c>
      <c r="G1022" s="206" t="s">
        <v>396</v>
      </c>
      <c r="H1022" s="206"/>
      <c r="I1022" s="208"/>
      <c r="J1022" s="211" t="str">
        <f>J1021</f>
        <v>1596 mm od</v>
      </c>
      <c r="K1022" s="234">
        <v>2</v>
      </c>
      <c r="L1022" s="208" t="s">
        <v>81</v>
      </c>
      <c r="M1022" s="217">
        <f>K1022</f>
        <v>2</v>
      </c>
      <c r="N1022" s="208" t="s">
        <v>81</v>
      </c>
      <c r="O1022" s="218">
        <v>6</v>
      </c>
      <c r="P1022" s="208" t="s">
        <v>162</v>
      </c>
      <c r="Q1022" s="240">
        <f t="shared" si="372"/>
        <v>12</v>
      </c>
      <c r="R1022" s="239">
        <v>1</v>
      </c>
      <c r="S1022" s="240">
        <f t="shared" si="355"/>
        <v>13</v>
      </c>
      <c r="T1022" s="216" t="s">
        <v>48</v>
      </c>
      <c r="U1022" s="196" t="str">
        <f t="shared" si="353"/>
        <v>13 Hrs</v>
      </c>
    </row>
    <row r="1023" spans="3:21" s="185" customFormat="1" ht="20.25" customHeight="1">
      <c r="C1023" s="198"/>
      <c r="D1023" s="203">
        <f t="shared" si="335"/>
        <v>1023</v>
      </c>
      <c r="E1023" s="207" t="s">
        <v>397</v>
      </c>
      <c r="F1023" s="211">
        <f t="shared" si="373"/>
        <v>1022</v>
      </c>
      <c r="G1023" s="206" t="s">
        <v>156</v>
      </c>
      <c r="H1023" s="206"/>
      <c r="I1023" s="224">
        <v>12</v>
      </c>
      <c r="J1023" s="208" t="s">
        <v>398</v>
      </c>
      <c r="K1023" s="234">
        <v>1</v>
      </c>
      <c r="L1023" s="208" t="s">
        <v>81</v>
      </c>
      <c r="M1023" s="235">
        <f>(300*16+1536*3.142*360^-1*120*2)*2*0.001</f>
        <v>16.034815999999999</v>
      </c>
      <c r="N1023" s="208" t="s">
        <v>249</v>
      </c>
      <c r="O1023" s="246">
        <f>VLOOKUP(I1023,BM!$A$2:$X$104,22,FALSE)</f>
        <v>1.6</v>
      </c>
      <c r="P1023" s="208" t="s">
        <v>162</v>
      </c>
      <c r="Q1023" s="240">
        <f t="shared" si="372"/>
        <v>25.655705600000001</v>
      </c>
      <c r="R1023" s="239">
        <v>1</v>
      </c>
      <c r="S1023" s="240">
        <f t="shared" si="355"/>
        <v>26.66</v>
      </c>
      <c r="T1023" s="216" t="s">
        <v>48</v>
      </c>
      <c r="U1023" s="196" t="str">
        <f t="shared" si="353"/>
        <v>26.66 Hrs</v>
      </c>
    </row>
    <row r="1024" spans="3:21" s="185" customFormat="1" ht="20.25" customHeight="1">
      <c r="C1024" s="198"/>
      <c r="D1024" s="203">
        <f t="shared" si="335"/>
        <v>1024</v>
      </c>
      <c r="E1024" s="207" t="s">
        <v>399</v>
      </c>
      <c r="F1024" s="211">
        <f t="shared" si="373"/>
        <v>1023</v>
      </c>
      <c r="G1024" s="206" t="s">
        <v>149</v>
      </c>
      <c r="H1024" s="206"/>
      <c r="I1024" s="208"/>
      <c r="J1024" s="208"/>
      <c r="K1024" s="234">
        <v>1</v>
      </c>
      <c r="L1024" s="208" t="s">
        <v>39</v>
      </c>
      <c r="M1024" s="217">
        <v>1</v>
      </c>
      <c r="N1024" s="208" t="s">
        <v>81</v>
      </c>
      <c r="O1024" s="218">
        <v>8</v>
      </c>
      <c r="P1024" s="208" t="s">
        <v>162</v>
      </c>
      <c r="Q1024" s="240">
        <f t="shared" si="372"/>
        <v>8</v>
      </c>
      <c r="R1024" s="239">
        <v>1</v>
      </c>
      <c r="S1024" s="240">
        <f t="shared" si="355"/>
        <v>9</v>
      </c>
      <c r="T1024" s="216" t="s">
        <v>48</v>
      </c>
      <c r="U1024" s="196" t="str">
        <f t="shared" si="353"/>
        <v>9 Hrs</v>
      </c>
    </row>
    <row r="1025" spans="3:21" s="185" customFormat="1" ht="20.25" customHeight="1">
      <c r="C1025" s="198">
        <f>D1025</f>
        <v>1025</v>
      </c>
      <c r="D1025" s="203">
        <f t="shared" si="335"/>
        <v>1025</v>
      </c>
      <c r="E1025" s="204" t="s">
        <v>400</v>
      </c>
      <c r="F1025" s="210">
        <f>D1018</f>
        <v>1018</v>
      </c>
      <c r="G1025" s="206"/>
      <c r="H1025" s="206"/>
      <c r="I1025" s="208"/>
      <c r="J1025" s="208"/>
      <c r="K1025" s="234"/>
      <c r="L1025" s="208"/>
      <c r="M1025" s="217"/>
      <c r="N1025" s="208"/>
      <c r="O1025" s="218"/>
      <c r="P1025" s="208"/>
      <c r="Q1025" s="240"/>
      <c r="R1025" s="239"/>
      <c r="S1025" s="240"/>
      <c r="T1025" s="216"/>
      <c r="U1025" s="196"/>
    </row>
    <row r="1026" spans="3:21" s="185" customFormat="1" ht="20.25" customHeight="1">
      <c r="C1026" s="198"/>
      <c r="D1026" s="203">
        <f t="shared" si="335"/>
        <v>1026</v>
      </c>
      <c r="E1026" s="207" t="s">
        <v>401</v>
      </c>
      <c r="F1026" s="211"/>
      <c r="G1026" s="206" t="s">
        <v>402</v>
      </c>
      <c r="H1026" s="206"/>
      <c r="I1026" s="208"/>
      <c r="J1026" s="208"/>
      <c r="K1026" s="234">
        <v>1</v>
      </c>
      <c r="L1026" s="208" t="s">
        <v>39</v>
      </c>
      <c r="M1026" s="217">
        <v>1</v>
      </c>
      <c r="N1026" s="208" t="s">
        <v>81</v>
      </c>
      <c r="O1026" s="218">
        <v>4</v>
      </c>
      <c r="P1026" s="208" t="s">
        <v>162</v>
      </c>
      <c r="Q1026" s="240">
        <f t="shared" ref="Q1026:Q1028" si="374">M1026*O1026</f>
        <v>4</v>
      </c>
      <c r="R1026" s="239">
        <v>1</v>
      </c>
      <c r="S1026" s="240">
        <f t="shared" si="355"/>
        <v>5</v>
      </c>
      <c r="T1026" s="216" t="s">
        <v>48</v>
      </c>
      <c r="U1026" s="196" t="str">
        <f t="shared" si="353"/>
        <v>5 Hrs</v>
      </c>
    </row>
    <row r="1027" spans="3:21" s="185" customFormat="1" ht="20.25" customHeight="1">
      <c r="C1027" s="198"/>
      <c r="D1027" s="203">
        <f t="shared" ref="D1027:D1090" si="375">D1026+1</f>
        <v>1027</v>
      </c>
      <c r="E1027" s="207" t="s">
        <v>403</v>
      </c>
      <c r="F1027" s="211">
        <f t="shared" ref="F1027:F1028" si="376">D1026</f>
        <v>1026</v>
      </c>
      <c r="G1027" s="206" t="s">
        <v>172</v>
      </c>
      <c r="H1027" s="206"/>
      <c r="I1027" s="208"/>
      <c r="J1027" s="208"/>
      <c r="K1027" s="234">
        <v>1</v>
      </c>
      <c r="L1027" s="208" t="s">
        <v>39</v>
      </c>
      <c r="M1027" s="217">
        <v>1</v>
      </c>
      <c r="N1027" s="208" t="s">
        <v>81</v>
      </c>
      <c r="O1027" s="218">
        <v>4</v>
      </c>
      <c r="P1027" s="208" t="s">
        <v>162</v>
      </c>
      <c r="Q1027" s="240">
        <f t="shared" si="374"/>
        <v>4</v>
      </c>
      <c r="R1027" s="239">
        <v>1</v>
      </c>
      <c r="S1027" s="240">
        <f t="shared" si="355"/>
        <v>5</v>
      </c>
      <c r="T1027" s="216" t="s">
        <v>48</v>
      </c>
      <c r="U1027" s="196" t="str">
        <f t="shared" si="353"/>
        <v>5 Hrs</v>
      </c>
    </row>
    <row r="1028" spans="3:21" s="185" customFormat="1" ht="20.25" customHeight="1">
      <c r="C1028" s="198"/>
      <c r="D1028" s="203">
        <f t="shared" si="375"/>
        <v>1028</v>
      </c>
      <c r="E1028" s="207" t="s">
        <v>404</v>
      </c>
      <c r="F1028" s="211">
        <f t="shared" si="376"/>
        <v>1027</v>
      </c>
      <c r="G1028" s="206" t="s">
        <v>115</v>
      </c>
      <c r="H1028" s="206"/>
      <c r="I1028" s="224">
        <v>12</v>
      </c>
      <c r="J1028" s="208"/>
      <c r="K1028" s="234">
        <v>6</v>
      </c>
      <c r="L1028" s="208" t="s">
        <v>139</v>
      </c>
      <c r="M1028" s="235">
        <f>430*12*0.001</f>
        <v>5.16</v>
      </c>
      <c r="N1028" s="208" t="s">
        <v>249</v>
      </c>
      <c r="O1028" s="246">
        <f>VLOOKUP(I1028,BM!$A$2:$X$104,22,FALSE)</f>
        <v>1.6</v>
      </c>
      <c r="P1028" s="208" t="s">
        <v>162</v>
      </c>
      <c r="Q1028" s="240">
        <f t="shared" si="374"/>
        <v>8.2560000000000002</v>
      </c>
      <c r="R1028" s="239">
        <v>1</v>
      </c>
      <c r="S1028" s="240">
        <f t="shared" si="355"/>
        <v>9.26</v>
      </c>
      <c r="T1028" s="216" t="s">
        <v>48</v>
      </c>
      <c r="U1028" s="196" t="str">
        <f t="shared" si="353"/>
        <v>9.26 Hrs</v>
      </c>
    </row>
    <row r="1029" spans="3:21" s="185" customFormat="1" ht="20.25" customHeight="1">
      <c r="C1029" s="198">
        <f>D1029</f>
        <v>1029</v>
      </c>
      <c r="D1029" s="203">
        <f t="shared" si="375"/>
        <v>1029</v>
      </c>
      <c r="E1029" s="204" t="s">
        <v>405</v>
      </c>
      <c r="F1029" s="249">
        <v>1025</v>
      </c>
      <c r="G1029" s="206"/>
      <c r="H1029" s="206"/>
      <c r="I1029" s="208"/>
      <c r="J1029" s="208"/>
      <c r="K1029" s="234"/>
      <c r="L1029" s="208"/>
      <c r="M1029" s="217"/>
      <c r="N1029" s="208"/>
      <c r="O1029" s="218"/>
      <c r="P1029" s="208"/>
      <c r="Q1029" s="240"/>
      <c r="R1029" s="239"/>
      <c r="S1029" s="240"/>
      <c r="T1029" s="216"/>
      <c r="U1029" s="196"/>
    </row>
    <row r="1030" spans="3:21" s="185" customFormat="1" ht="20.25" customHeight="1">
      <c r="C1030" s="198"/>
      <c r="D1030" s="203">
        <f t="shared" si="375"/>
        <v>1030</v>
      </c>
      <c r="E1030" s="207" t="s">
        <v>406</v>
      </c>
      <c r="F1030" s="211"/>
      <c r="G1030" s="206" t="s">
        <v>44</v>
      </c>
      <c r="H1030" s="206"/>
      <c r="I1030" s="224">
        <v>18</v>
      </c>
      <c r="J1030" s="234" t="s">
        <v>407</v>
      </c>
      <c r="K1030" s="234">
        <v>1</v>
      </c>
      <c r="L1030" s="208" t="s">
        <v>39</v>
      </c>
      <c r="M1030" s="217">
        <v>1</v>
      </c>
      <c r="N1030" s="208"/>
      <c r="O1030" s="218">
        <v>12</v>
      </c>
      <c r="P1030" s="208" t="s">
        <v>162</v>
      </c>
      <c r="Q1030" s="240">
        <f t="shared" ref="Q1030:Q1031" si="377">M1030*O1030</f>
        <v>12</v>
      </c>
      <c r="R1030" s="239">
        <v>1</v>
      </c>
      <c r="S1030" s="240">
        <f t="shared" si="355"/>
        <v>13</v>
      </c>
      <c r="T1030" s="216" t="s">
        <v>48</v>
      </c>
      <c r="U1030" s="196" t="str">
        <f t="shared" si="353"/>
        <v>13 Hrs</v>
      </c>
    </row>
    <row r="1031" spans="3:21" s="185" customFormat="1" ht="20.25" customHeight="1">
      <c r="C1031" s="198"/>
      <c r="D1031" s="203">
        <f t="shared" si="375"/>
        <v>1031</v>
      </c>
      <c r="E1031" s="207" t="s">
        <v>64</v>
      </c>
      <c r="F1031" s="211">
        <f t="shared" ref="F1031" si="378">D1030</f>
        <v>1030</v>
      </c>
      <c r="G1031" s="206" t="s">
        <v>44</v>
      </c>
      <c r="H1031" s="206"/>
      <c r="I1031" s="224">
        <v>18</v>
      </c>
      <c r="J1031" s="225" t="str">
        <f>J1030</f>
        <v>6130 lg</v>
      </c>
      <c r="K1031" s="225">
        <f>K1030</f>
        <v>1</v>
      </c>
      <c r="L1031" s="211" t="str">
        <f>L1030</f>
        <v>No</v>
      </c>
      <c r="M1031" s="235">
        <f>M1030</f>
        <v>1</v>
      </c>
      <c r="N1031" s="208"/>
      <c r="O1031" s="218">
        <v>1</v>
      </c>
      <c r="P1031" s="208" t="s">
        <v>41</v>
      </c>
      <c r="Q1031" s="240">
        <f t="shared" si="377"/>
        <v>1</v>
      </c>
      <c r="R1031" s="239"/>
      <c r="S1031" s="240">
        <f t="shared" si="355"/>
        <v>1</v>
      </c>
      <c r="T1031" s="216" t="s">
        <v>42</v>
      </c>
      <c r="U1031" s="196" t="str">
        <f t="shared" si="353"/>
        <v>1 Days</v>
      </c>
    </row>
    <row r="1032" spans="3:21" s="185" customFormat="1" ht="20.25" customHeight="1">
      <c r="C1032" s="198">
        <f t="shared" ref="C1032:C1033" si="379">D1032</f>
        <v>1032</v>
      </c>
      <c r="D1032" s="203">
        <f t="shared" si="375"/>
        <v>1032</v>
      </c>
      <c r="E1032" s="251" t="s">
        <v>408</v>
      </c>
      <c r="F1032" s="210"/>
      <c r="G1032" s="206"/>
      <c r="H1032" s="206"/>
      <c r="I1032" s="208"/>
      <c r="J1032" s="208"/>
      <c r="K1032" s="234"/>
      <c r="L1032" s="208"/>
      <c r="M1032" s="217"/>
      <c r="N1032" s="208"/>
      <c r="O1032" s="218"/>
      <c r="P1032" s="208"/>
      <c r="Q1032" s="240"/>
      <c r="R1032" s="239"/>
      <c r="S1032" s="240"/>
      <c r="T1032" s="216"/>
      <c r="U1032" s="196"/>
    </row>
    <row r="1033" spans="3:21" s="185" customFormat="1" ht="20.25" customHeight="1">
      <c r="C1033" s="198">
        <f t="shared" si="379"/>
        <v>1033</v>
      </c>
      <c r="D1033" s="203">
        <f t="shared" si="375"/>
        <v>1033</v>
      </c>
      <c r="E1033" s="204" t="s">
        <v>409</v>
      </c>
      <c r="F1033" s="210">
        <f>D1101</f>
        <v>1101</v>
      </c>
      <c r="G1033" s="206"/>
      <c r="H1033" s="206"/>
      <c r="I1033" s="208"/>
      <c r="J1033" s="208"/>
      <c r="K1033" s="234"/>
      <c r="L1033" s="208"/>
      <c r="M1033" s="217"/>
      <c r="N1033" s="208"/>
      <c r="O1033" s="218"/>
      <c r="P1033" s="208"/>
      <c r="Q1033" s="240"/>
      <c r="R1033" s="239"/>
      <c r="S1033" s="240"/>
      <c r="T1033" s="216"/>
      <c r="U1033" s="196"/>
    </row>
    <row r="1034" spans="3:21" s="185" customFormat="1" ht="20.25" customHeight="1">
      <c r="C1034" s="198"/>
      <c r="D1034" s="203">
        <f t="shared" si="375"/>
        <v>1034</v>
      </c>
      <c r="E1034" s="207" t="s">
        <v>410</v>
      </c>
      <c r="F1034" s="211"/>
      <c r="G1034" s="206" t="s">
        <v>37</v>
      </c>
      <c r="H1034" s="206"/>
      <c r="I1034" s="208"/>
      <c r="J1034" s="208"/>
      <c r="K1034" s="234">
        <v>1</v>
      </c>
      <c r="L1034" s="208" t="s">
        <v>39</v>
      </c>
      <c r="M1034" s="217">
        <v>1</v>
      </c>
      <c r="N1034" s="208" t="s">
        <v>39</v>
      </c>
      <c r="O1034" s="218">
        <v>4</v>
      </c>
      <c r="P1034" s="208" t="s">
        <v>41</v>
      </c>
      <c r="Q1034" s="240">
        <f t="shared" ref="Q1034:Q1039" si="380">M1034*O1034</f>
        <v>4</v>
      </c>
      <c r="R1034" s="239"/>
      <c r="S1034" s="240">
        <f t="shared" si="355"/>
        <v>4</v>
      </c>
      <c r="T1034" s="216" t="s">
        <v>42</v>
      </c>
      <c r="U1034" s="196" t="str">
        <f t="shared" si="353"/>
        <v>4 Days</v>
      </c>
    </row>
    <row r="1035" spans="3:21" s="185" customFormat="1" ht="20.25" customHeight="1">
      <c r="C1035" s="198"/>
      <c r="D1035" s="203">
        <f t="shared" si="375"/>
        <v>1035</v>
      </c>
      <c r="E1035" s="207" t="s">
        <v>411</v>
      </c>
      <c r="F1035" s="211">
        <f t="shared" ref="F1035:F1039" si="381">D1034</f>
        <v>1034</v>
      </c>
      <c r="G1035" s="206" t="s">
        <v>201</v>
      </c>
      <c r="H1035" s="206"/>
      <c r="I1035" s="224">
        <v>18</v>
      </c>
      <c r="J1035" s="234" t="s">
        <v>412</v>
      </c>
      <c r="K1035" s="234">
        <v>1</v>
      </c>
      <c r="L1035" s="208" t="s">
        <v>81</v>
      </c>
      <c r="M1035" s="227">
        <f t="shared" ref="M1035:M1039" si="382">LEFT(J1035,SEARCH(" ",J1035,1)-1)*K1035*0.001</f>
        <v>0.83100000000000007</v>
      </c>
      <c r="N1035" s="208" t="s">
        <v>139</v>
      </c>
      <c r="O1035" s="246">
        <f>VLOOKUP(I1035,BM!$A$2:$X$104,2,FALSE)</f>
        <v>0.1</v>
      </c>
      <c r="P1035" s="208" t="s">
        <v>112</v>
      </c>
      <c r="Q1035" s="240">
        <f t="shared" si="380"/>
        <v>8.3100000000000007E-2</v>
      </c>
      <c r="R1035" s="239">
        <v>1</v>
      </c>
      <c r="S1035" s="240">
        <f t="shared" si="355"/>
        <v>1.08</v>
      </c>
      <c r="T1035" s="216" t="s">
        <v>48</v>
      </c>
      <c r="U1035" s="196" t="str">
        <f t="shared" si="353"/>
        <v>1.08 Hrs</v>
      </c>
    </row>
    <row r="1036" spans="3:21" s="185" customFormat="1" ht="20.25" customHeight="1">
      <c r="C1036" s="198"/>
      <c r="D1036" s="203">
        <f t="shared" si="375"/>
        <v>1036</v>
      </c>
      <c r="E1036" s="207" t="s">
        <v>413</v>
      </c>
      <c r="F1036" s="211">
        <f t="shared" si="381"/>
        <v>1035</v>
      </c>
      <c r="G1036" s="206" t="s">
        <v>52</v>
      </c>
      <c r="H1036" s="206"/>
      <c r="I1036" s="233">
        <f t="shared" ref="I1036:J1036" si="383">I1035</f>
        <v>18</v>
      </c>
      <c r="J1036" s="211" t="str">
        <f t="shared" si="383"/>
        <v>831 mm</v>
      </c>
      <c r="K1036" s="234">
        <v>1</v>
      </c>
      <c r="L1036" s="208" t="s">
        <v>81</v>
      </c>
      <c r="M1036" s="227">
        <f t="shared" si="382"/>
        <v>0.83100000000000007</v>
      </c>
      <c r="N1036" s="208" t="s">
        <v>139</v>
      </c>
      <c r="O1036" s="246">
        <f>VLOOKUP(I1036,BM!$A$2:$X$104,3,FALSE)</f>
        <v>0.25</v>
      </c>
      <c r="P1036" s="208" t="s">
        <v>112</v>
      </c>
      <c r="Q1036" s="240">
        <f t="shared" si="380"/>
        <v>0.20775000000000002</v>
      </c>
      <c r="R1036" s="239">
        <v>1</v>
      </c>
      <c r="S1036" s="240">
        <f t="shared" si="355"/>
        <v>1.21</v>
      </c>
      <c r="T1036" s="216" t="s">
        <v>48</v>
      </c>
      <c r="U1036" s="196" t="str">
        <f t="shared" si="353"/>
        <v>1.21 Hrs</v>
      </c>
    </row>
    <row r="1037" spans="3:21" s="185" customFormat="1" ht="20.25" customHeight="1">
      <c r="C1037" s="198"/>
      <c r="D1037" s="203">
        <f t="shared" si="375"/>
        <v>1037</v>
      </c>
      <c r="E1037" s="207" t="s">
        <v>414</v>
      </c>
      <c r="F1037" s="211">
        <f t="shared" si="381"/>
        <v>1036</v>
      </c>
      <c r="G1037" s="206" t="s">
        <v>61</v>
      </c>
      <c r="H1037" s="206"/>
      <c r="I1037" s="233">
        <f t="shared" ref="I1037:J1037" si="384">I1036</f>
        <v>18</v>
      </c>
      <c r="J1037" s="211" t="str">
        <f t="shared" si="384"/>
        <v>831 mm</v>
      </c>
      <c r="K1037" s="234">
        <v>1</v>
      </c>
      <c r="L1037" s="208" t="s">
        <v>81</v>
      </c>
      <c r="M1037" s="227">
        <f t="shared" si="382"/>
        <v>0.83100000000000007</v>
      </c>
      <c r="N1037" s="208" t="s">
        <v>139</v>
      </c>
      <c r="O1037" s="246">
        <f>VLOOKUP(I1037,BM!$A$2:$X$104,4,FALSE)</f>
        <v>0.15</v>
      </c>
      <c r="P1037" s="208" t="s">
        <v>112</v>
      </c>
      <c r="Q1037" s="240">
        <f t="shared" si="380"/>
        <v>0.12465000000000001</v>
      </c>
      <c r="R1037" s="239">
        <v>1</v>
      </c>
      <c r="S1037" s="240">
        <f t="shared" si="355"/>
        <v>1.1200000000000001</v>
      </c>
      <c r="T1037" s="216" t="s">
        <v>48</v>
      </c>
      <c r="U1037" s="196" t="str">
        <f t="shared" si="353"/>
        <v>1.12 Hrs</v>
      </c>
    </row>
    <row r="1038" spans="3:21" s="185" customFormat="1" ht="20.25" customHeight="1">
      <c r="C1038" s="198"/>
      <c r="D1038" s="203">
        <f t="shared" si="375"/>
        <v>1038</v>
      </c>
      <c r="E1038" s="207" t="s">
        <v>415</v>
      </c>
      <c r="F1038" s="211">
        <f t="shared" si="381"/>
        <v>1037</v>
      </c>
      <c r="G1038" s="206" t="s">
        <v>224</v>
      </c>
      <c r="H1038" s="206"/>
      <c r="I1038" s="233">
        <f t="shared" ref="I1038:J1038" si="385">I1037</f>
        <v>18</v>
      </c>
      <c r="J1038" s="211" t="str">
        <f t="shared" si="385"/>
        <v>831 mm</v>
      </c>
      <c r="K1038" s="234">
        <v>1</v>
      </c>
      <c r="L1038" s="208" t="s">
        <v>81</v>
      </c>
      <c r="M1038" s="227">
        <f t="shared" si="382"/>
        <v>0.83100000000000007</v>
      </c>
      <c r="N1038" s="208" t="s">
        <v>139</v>
      </c>
      <c r="O1038" s="246">
        <f>VLOOKUP(I1038,BM!$A$2:$X$104,5,FALSE)</f>
        <v>0.5</v>
      </c>
      <c r="P1038" s="208" t="s">
        <v>112</v>
      </c>
      <c r="Q1038" s="240">
        <f t="shared" si="380"/>
        <v>0.41550000000000004</v>
      </c>
      <c r="R1038" s="239">
        <v>1</v>
      </c>
      <c r="S1038" s="240">
        <f t="shared" si="355"/>
        <v>1.42</v>
      </c>
      <c r="T1038" s="216" t="s">
        <v>48</v>
      </c>
      <c r="U1038" s="196" t="str">
        <f t="shared" si="353"/>
        <v>1.42 Hrs</v>
      </c>
    </row>
    <row r="1039" spans="3:21" s="185" customFormat="1" ht="20.25" customHeight="1">
      <c r="C1039" s="198"/>
      <c r="D1039" s="203">
        <f t="shared" si="375"/>
        <v>1039</v>
      </c>
      <c r="E1039" s="207" t="s">
        <v>416</v>
      </c>
      <c r="F1039" s="211">
        <f t="shared" si="381"/>
        <v>1038</v>
      </c>
      <c r="G1039" s="206" t="s">
        <v>61</v>
      </c>
      <c r="H1039" s="206"/>
      <c r="I1039" s="233">
        <f t="shared" ref="I1039:J1039" si="386">I1038</f>
        <v>18</v>
      </c>
      <c r="J1039" s="211" t="str">
        <f t="shared" si="386"/>
        <v>831 mm</v>
      </c>
      <c r="K1039" s="234">
        <v>1</v>
      </c>
      <c r="L1039" s="208" t="s">
        <v>81</v>
      </c>
      <c r="M1039" s="227">
        <f t="shared" si="382"/>
        <v>0.83100000000000007</v>
      </c>
      <c r="N1039" s="208" t="s">
        <v>139</v>
      </c>
      <c r="O1039" s="246">
        <f>VLOOKUP(I1039,BM!$A$2:$X$104,6,FALSE)</f>
        <v>1</v>
      </c>
      <c r="P1039" s="208" t="s">
        <v>112</v>
      </c>
      <c r="Q1039" s="240">
        <f t="shared" si="380"/>
        <v>0.83100000000000007</v>
      </c>
      <c r="R1039" s="239">
        <v>1</v>
      </c>
      <c r="S1039" s="240">
        <f t="shared" si="355"/>
        <v>1.83</v>
      </c>
      <c r="T1039" s="216" t="s">
        <v>48</v>
      </c>
      <c r="U1039" s="196" t="str">
        <f t="shared" si="353"/>
        <v>1.83 Hrs</v>
      </c>
    </row>
    <row r="1040" spans="3:21" s="185" customFormat="1" ht="20.25" customHeight="1">
      <c r="C1040" s="198">
        <f>D1040</f>
        <v>1040</v>
      </c>
      <c r="D1040" s="203">
        <f t="shared" si="375"/>
        <v>1040</v>
      </c>
      <c r="E1040" s="204" t="s">
        <v>417</v>
      </c>
      <c r="F1040" s="210">
        <f>D1033</f>
        <v>1033</v>
      </c>
      <c r="G1040" s="206"/>
      <c r="H1040" s="206"/>
      <c r="I1040" s="208"/>
      <c r="J1040" s="208"/>
      <c r="K1040" s="234"/>
      <c r="L1040" s="208"/>
      <c r="M1040" s="217"/>
      <c r="N1040" s="208"/>
      <c r="O1040" s="218"/>
      <c r="P1040" s="208"/>
      <c r="Q1040" s="240"/>
      <c r="R1040" s="239"/>
      <c r="S1040" s="240"/>
      <c r="T1040" s="216"/>
      <c r="U1040" s="196"/>
    </row>
    <row r="1041" spans="3:21" s="185" customFormat="1" ht="20.25" customHeight="1">
      <c r="C1041" s="198"/>
      <c r="D1041" s="203">
        <f t="shared" si="375"/>
        <v>1041</v>
      </c>
      <c r="E1041" s="207" t="s">
        <v>418</v>
      </c>
      <c r="F1041" s="211"/>
      <c r="G1041" s="206" t="s">
        <v>286</v>
      </c>
      <c r="H1041" s="206"/>
      <c r="I1041" s="233">
        <f>I1039</f>
        <v>18</v>
      </c>
      <c r="J1041" s="211" t="str">
        <f>J1039</f>
        <v>831 mm</v>
      </c>
      <c r="K1041" s="234">
        <v>1</v>
      </c>
      <c r="L1041" s="208" t="s">
        <v>81</v>
      </c>
      <c r="M1041" s="217">
        <v>1</v>
      </c>
      <c r="N1041" s="208" t="s">
        <v>139</v>
      </c>
      <c r="O1041" s="218">
        <v>3</v>
      </c>
      <c r="P1041" s="208" t="s">
        <v>112</v>
      </c>
      <c r="Q1041" s="240">
        <f t="shared" ref="Q1041:Q1044" si="387">M1041*O1041</f>
        <v>3</v>
      </c>
      <c r="R1041" s="239">
        <v>1</v>
      </c>
      <c r="S1041" s="240">
        <f t="shared" si="355"/>
        <v>4</v>
      </c>
      <c r="T1041" s="216" t="s">
        <v>48</v>
      </c>
      <c r="U1041" s="196" t="str">
        <f t="shared" si="353"/>
        <v>4 Hrs</v>
      </c>
    </row>
    <row r="1042" spans="3:21" s="185" customFormat="1" ht="20.25" customHeight="1">
      <c r="C1042" s="198"/>
      <c r="D1042" s="203">
        <f t="shared" si="375"/>
        <v>1042</v>
      </c>
      <c r="E1042" s="207" t="s">
        <v>419</v>
      </c>
      <c r="F1042" s="211">
        <f t="shared" ref="F1042:F1044" si="388">D1041</f>
        <v>1041</v>
      </c>
      <c r="G1042" s="206" t="s">
        <v>420</v>
      </c>
      <c r="H1042" s="206"/>
      <c r="I1042" s="233">
        <f t="shared" ref="I1042:J1042" si="389">I1041</f>
        <v>18</v>
      </c>
      <c r="J1042" s="211" t="str">
        <f t="shared" si="389"/>
        <v>831 mm</v>
      </c>
      <c r="K1042" s="234">
        <v>1</v>
      </c>
      <c r="L1042" s="208" t="s">
        <v>81</v>
      </c>
      <c r="M1042" s="227">
        <f>LEFT(J1042,SEARCH(" ",J1042,1)-1)*K1042*0.001*2</f>
        <v>1.6620000000000001</v>
      </c>
      <c r="N1042" s="208" t="s">
        <v>139</v>
      </c>
      <c r="O1042" s="246">
        <f>VLOOKUP(I1042,BM!$A$2:$X$104,8,FALSE)</f>
        <v>0.3</v>
      </c>
      <c r="P1042" s="208" t="s">
        <v>112</v>
      </c>
      <c r="Q1042" s="240">
        <f t="shared" si="387"/>
        <v>0.49860000000000004</v>
      </c>
      <c r="R1042" s="239">
        <v>1</v>
      </c>
      <c r="S1042" s="240">
        <f t="shared" si="355"/>
        <v>1.5</v>
      </c>
      <c r="T1042" s="216" t="s">
        <v>48</v>
      </c>
      <c r="U1042" s="196" t="str">
        <f t="shared" si="353"/>
        <v>1.5 Hrs</v>
      </c>
    </row>
    <row r="1043" spans="3:21" s="185" customFormat="1" ht="20.25" customHeight="1">
      <c r="C1043" s="198"/>
      <c r="D1043" s="203">
        <f t="shared" si="375"/>
        <v>1043</v>
      </c>
      <c r="E1043" s="207" t="s">
        <v>421</v>
      </c>
      <c r="F1043" s="211">
        <f t="shared" si="388"/>
        <v>1042</v>
      </c>
      <c r="G1043" s="206" t="s">
        <v>348</v>
      </c>
      <c r="H1043" s="206"/>
      <c r="I1043" s="233">
        <f t="shared" ref="I1043:J1043" si="390">I1042</f>
        <v>18</v>
      </c>
      <c r="J1043" s="211" t="str">
        <f t="shared" si="390"/>
        <v>831 mm</v>
      </c>
      <c r="K1043" s="234">
        <v>1</v>
      </c>
      <c r="L1043" s="208" t="s">
        <v>81</v>
      </c>
      <c r="M1043" s="227">
        <f>LEFT(J1043,SEARCH(" ",J1043,1)-1)*K1043*0.001*2</f>
        <v>1.6620000000000001</v>
      </c>
      <c r="N1043" s="208" t="s">
        <v>139</v>
      </c>
      <c r="O1043" s="246">
        <f>VLOOKUP(I1043,BM!$A$2:$X$104,9,FALSE)</f>
        <v>1</v>
      </c>
      <c r="P1043" s="208" t="s">
        <v>112</v>
      </c>
      <c r="Q1043" s="240">
        <f t="shared" si="387"/>
        <v>1.6620000000000001</v>
      </c>
      <c r="R1043" s="239">
        <v>1</v>
      </c>
      <c r="S1043" s="240">
        <f t="shared" si="355"/>
        <v>2.66</v>
      </c>
      <c r="T1043" s="216" t="s">
        <v>48</v>
      </c>
      <c r="U1043" s="196" t="str">
        <f t="shared" si="353"/>
        <v>2.66 Hrs</v>
      </c>
    </row>
    <row r="1044" spans="3:21" s="185" customFormat="1" ht="20.25" customHeight="1">
      <c r="C1044" s="198"/>
      <c r="D1044" s="203">
        <f t="shared" si="375"/>
        <v>1044</v>
      </c>
      <c r="E1044" s="207" t="s">
        <v>422</v>
      </c>
      <c r="F1044" s="211">
        <f t="shared" si="388"/>
        <v>1043</v>
      </c>
      <c r="G1044" s="206" t="s">
        <v>286</v>
      </c>
      <c r="H1044" s="206"/>
      <c r="I1044" s="233">
        <f t="shared" ref="I1044:J1044" si="391">I1043</f>
        <v>18</v>
      </c>
      <c r="J1044" s="211" t="str">
        <f t="shared" si="391"/>
        <v>831 mm</v>
      </c>
      <c r="K1044" s="234">
        <v>1</v>
      </c>
      <c r="L1044" s="208" t="s">
        <v>81</v>
      </c>
      <c r="M1044" s="227">
        <v>1</v>
      </c>
      <c r="N1044" s="208" t="s">
        <v>39</v>
      </c>
      <c r="O1044" s="218">
        <v>3</v>
      </c>
      <c r="P1044" s="208" t="s">
        <v>112</v>
      </c>
      <c r="Q1044" s="240">
        <f t="shared" si="387"/>
        <v>3</v>
      </c>
      <c r="R1044" s="239">
        <v>1</v>
      </c>
      <c r="S1044" s="240">
        <f t="shared" si="355"/>
        <v>4</v>
      </c>
      <c r="T1044" s="216" t="s">
        <v>48</v>
      </c>
      <c r="U1044" s="196" t="str">
        <f t="shared" si="353"/>
        <v>4 Hrs</v>
      </c>
    </row>
    <row r="1045" spans="3:21" s="185" customFormat="1" ht="20.25" customHeight="1">
      <c r="C1045" s="198">
        <f>D1045</f>
        <v>1045</v>
      </c>
      <c r="D1045" s="203">
        <f t="shared" si="375"/>
        <v>1045</v>
      </c>
      <c r="E1045" s="204" t="s">
        <v>423</v>
      </c>
      <c r="F1045" s="210">
        <f>D1040</f>
        <v>1040</v>
      </c>
      <c r="G1045" s="206"/>
      <c r="H1045" s="206"/>
      <c r="I1045" s="208"/>
      <c r="J1045" s="208"/>
      <c r="K1045" s="234"/>
      <c r="L1045" s="208"/>
      <c r="M1045" s="217"/>
      <c r="N1045" s="208"/>
      <c r="O1045" s="218"/>
      <c r="P1045" s="208"/>
      <c r="Q1045" s="240"/>
      <c r="R1045" s="239"/>
      <c r="S1045" s="240"/>
      <c r="T1045" s="216"/>
      <c r="U1045" s="196"/>
    </row>
    <row r="1046" spans="3:21" s="185" customFormat="1" ht="20.25" customHeight="1">
      <c r="C1046" s="198"/>
      <c r="D1046" s="203">
        <f t="shared" si="375"/>
        <v>1046</v>
      </c>
      <c r="E1046" s="207" t="s">
        <v>424</v>
      </c>
      <c r="F1046" s="211"/>
      <c r="G1046" s="206" t="s">
        <v>348</v>
      </c>
      <c r="H1046" s="206"/>
      <c r="I1046" s="224">
        <v>18</v>
      </c>
      <c r="J1046" s="211" t="str">
        <f>J1044</f>
        <v>831 mm</v>
      </c>
      <c r="K1046" s="234">
        <v>1</v>
      </c>
      <c r="L1046" s="208" t="s">
        <v>81</v>
      </c>
      <c r="M1046" s="227">
        <f>LEFT(J1046,SEARCH(" ",J1046,1)-1)*K1046*0.001*2</f>
        <v>1.6620000000000001</v>
      </c>
      <c r="N1046" s="208" t="s">
        <v>139</v>
      </c>
      <c r="O1046" s="246">
        <f>VLOOKUP(I1046,BM!$A$2:$X$104,9,FALSE)</f>
        <v>1</v>
      </c>
      <c r="P1046" s="208" t="s">
        <v>112</v>
      </c>
      <c r="Q1046" s="240">
        <f t="shared" ref="Q1046:Q1047" si="392">M1046*O1046</f>
        <v>1.6620000000000001</v>
      </c>
      <c r="R1046" s="239">
        <v>1</v>
      </c>
      <c r="S1046" s="240">
        <f t="shared" si="355"/>
        <v>2.66</v>
      </c>
      <c r="T1046" s="216" t="s">
        <v>48</v>
      </c>
      <c r="U1046" s="196" t="str">
        <f t="shared" si="353"/>
        <v>2.66 Hrs</v>
      </c>
    </row>
    <row r="1047" spans="3:21" s="185" customFormat="1" ht="20.25" customHeight="1">
      <c r="C1047" s="198"/>
      <c r="D1047" s="203">
        <f t="shared" si="375"/>
        <v>1047</v>
      </c>
      <c r="E1047" s="207" t="s">
        <v>425</v>
      </c>
      <c r="F1047" s="211">
        <f t="shared" ref="F1047" si="393">D1046</f>
        <v>1046</v>
      </c>
      <c r="G1047" s="206" t="s">
        <v>111</v>
      </c>
      <c r="H1047" s="206"/>
      <c r="I1047" s="224">
        <v>18</v>
      </c>
      <c r="J1047" s="211" t="str">
        <f>J1046</f>
        <v>831 mm</v>
      </c>
      <c r="K1047" s="234">
        <v>1</v>
      </c>
      <c r="L1047" s="208" t="s">
        <v>81</v>
      </c>
      <c r="M1047" s="227">
        <f>LEFT(J1047,SEARCH(" ",J1047,1)-1)*K1047*0.001</f>
        <v>0.83100000000000007</v>
      </c>
      <c r="N1047" s="208" t="s">
        <v>139</v>
      </c>
      <c r="O1047" s="246">
        <f>VLOOKUP(I1047,BM!$A$2:$X$104,10,FALSE)</f>
        <v>1</v>
      </c>
      <c r="P1047" s="208" t="s">
        <v>112</v>
      </c>
      <c r="Q1047" s="240">
        <f t="shared" si="392"/>
        <v>0.83100000000000007</v>
      </c>
      <c r="R1047" s="239">
        <v>1</v>
      </c>
      <c r="S1047" s="240">
        <f t="shared" si="355"/>
        <v>1.83</v>
      </c>
      <c r="T1047" s="216" t="s">
        <v>48</v>
      </c>
      <c r="U1047" s="196" t="str">
        <f t="shared" si="353"/>
        <v>1.83 Hrs</v>
      </c>
    </row>
    <row r="1048" spans="3:21" s="185" customFormat="1" ht="20.25" customHeight="1">
      <c r="C1048" s="198">
        <f>D1048</f>
        <v>1048</v>
      </c>
      <c r="D1048" s="203">
        <f t="shared" si="375"/>
        <v>1048</v>
      </c>
      <c r="E1048" s="204" t="s">
        <v>426</v>
      </c>
      <c r="F1048" s="210">
        <f>D1045</f>
        <v>1045</v>
      </c>
      <c r="G1048" s="206"/>
      <c r="H1048" s="206"/>
      <c r="I1048" s="208"/>
      <c r="J1048" s="208"/>
      <c r="K1048" s="234"/>
      <c r="L1048" s="208"/>
      <c r="M1048" s="217"/>
      <c r="N1048" s="208"/>
      <c r="O1048" s="218"/>
      <c r="P1048" s="208"/>
      <c r="Q1048" s="240"/>
      <c r="R1048" s="239"/>
      <c r="S1048" s="240"/>
      <c r="T1048" s="216"/>
      <c r="U1048" s="196"/>
    </row>
    <row r="1049" spans="3:21" s="185" customFormat="1" ht="20.25" customHeight="1">
      <c r="C1049" s="198"/>
      <c r="D1049" s="203">
        <f t="shared" si="375"/>
        <v>1049</v>
      </c>
      <c r="E1049" s="207" t="s">
        <v>427</v>
      </c>
      <c r="F1049" s="211"/>
      <c r="G1049" s="206" t="s">
        <v>201</v>
      </c>
      <c r="H1049" s="206"/>
      <c r="I1049" s="224">
        <v>18</v>
      </c>
      <c r="J1049" s="211" t="str">
        <f>J1047</f>
        <v>831 mm</v>
      </c>
      <c r="K1049" s="234">
        <v>1</v>
      </c>
      <c r="L1049" s="208" t="s">
        <v>81</v>
      </c>
      <c r="M1049" s="217">
        <v>1</v>
      </c>
      <c r="N1049" s="208" t="s">
        <v>139</v>
      </c>
      <c r="O1049" s="218">
        <v>1</v>
      </c>
      <c r="P1049" s="208" t="s">
        <v>112</v>
      </c>
      <c r="Q1049" s="240">
        <f t="shared" ref="Q1049:Q1054" si="394">M1049*O1049</f>
        <v>1</v>
      </c>
      <c r="R1049" s="239">
        <v>1</v>
      </c>
      <c r="S1049" s="240">
        <f t="shared" si="355"/>
        <v>2</v>
      </c>
      <c r="T1049" s="216" t="s">
        <v>48</v>
      </c>
      <c r="U1049" s="196" t="str">
        <f t="shared" si="353"/>
        <v>2 Hrs</v>
      </c>
    </row>
    <row r="1050" spans="3:21" s="185" customFormat="1" ht="20.25" customHeight="1">
      <c r="C1050" s="198"/>
      <c r="D1050" s="203">
        <f t="shared" si="375"/>
        <v>1050</v>
      </c>
      <c r="E1050" s="207" t="s">
        <v>428</v>
      </c>
      <c r="F1050" s="211">
        <f t="shared" ref="F1050:F1054" si="395">D1049</f>
        <v>1049</v>
      </c>
      <c r="G1050" s="206" t="s">
        <v>115</v>
      </c>
      <c r="H1050" s="206"/>
      <c r="I1050" s="224">
        <v>12</v>
      </c>
      <c r="J1050" s="211" t="str">
        <f t="shared" ref="J1050:J1054" si="396">J1049</f>
        <v>831 mm</v>
      </c>
      <c r="K1050" s="234">
        <v>1</v>
      </c>
      <c r="L1050" s="208" t="s">
        <v>81</v>
      </c>
      <c r="M1050" s="227">
        <f t="shared" ref="M1050:M1053" si="397">LEFT(J1050,SEARCH(" ",J1050,1)-1)*K1050*0.001</f>
        <v>0.83100000000000007</v>
      </c>
      <c r="N1050" s="208" t="s">
        <v>139</v>
      </c>
      <c r="O1050" s="246">
        <f>VLOOKUP(I1050,BM!$A$2:$X$104,12,FALSE)</f>
        <v>2.5</v>
      </c>
      <c r="P1050" s="208" t="s">
        <v>112</v>
      </c>
      <c r="Q1050" s="240">
        <f t="shared" si="394"/>
        <v>2.0775000000000001</v>
      </c>
      <c r="R1050" s="239">
        <v>1</v>
      </c>
      <c r="S1050" s="240">
        <f t="shared" si="355"/>
        <v>3.08</v>
      </c>
      <c r="T1050" s="216" t="s">
        <v>48</v>
      </c>
      <c r="U1050" s="196" t="str">
        <f t="shared" si="353"/>
        <v>3.08 Hrs</v>
      </c>
    </row>
    <row r="1051" spans="3:21" s="185" customFormat="1" ht="20.25" customHeight="1">
      <c r="C1051" s="198"/>
      <c r="D1051" s="203">
        <f t="shared" si="375"/>
        <v>1051</v>
      </c>
      <c r="E1051" s="207" t="s">
        <v>429</v>
      </c>
      <c r="F1051" s="211">
        <f t="shared" si="395"/>
        <v>1050</v>
      </c>
      <c r="G1051" s="206" t="s">
        <v>121</v>
      </c>
      <c r="H1051" s="206"/>
      <c r="I1051" s="224">
        <v>18</v>
      </c>
      <c r="J1051" s="211" t="str">
        <f t="shared" si="396"/>
        <v>831 mm</v>
      </c>
      <c r="K1051" s="234">
        <v>1</v>
      </c>
      <c r="L1051" s="208" t="s">
        <v>81</v>
      </c>
      <c r="M1051" s="227">
        <f t="shared" si="397"/>
        <v>0.83100000000000007</v>
      </c>
      <c r="N1051" s="208" t="s">
        <v>139</v>
      </c>
      <c r="O1051" s="246">
        <f>VLOOKUP(I1051,BM!$A$2:$X$104,18,FALSE)</f>
        <v>1</v>
      </c>
      <c r="P1051" s="208" t="s">
        <v>112</v>
      </c>
      <c r="Q1051" s="240">
        <f t="shared" si="394"/>
        <v>0.83100000000000007</v>
      </c>
      <c r="R1051" s="239">
        <v>1</v>
      </c>
      <c r="S1051" s="240">
        <f t="shared" si="355"/>
        <v>1.83</v>
      </c>
      <c r="T1051" s="216" t="s">
        <v>48</v>
      </c>
      <c r="U1051" s="196" t="str">
        <f t="shared" si="353"/>
        <v>1.83 Hrs</v>
      </c>
    </row>
    <row r="1052" spans="3:21" s="185" customFormat="1" ht="20.25" customHeight="1">
      <c r="C1052" s="198"/>
      <c r="D1052" s="203">
        <f t="shared" si="375"/>
        <v>1052</v>
      </c>
      <c r="E1052" s="207" t="s">
        <v>430</v>
      </c>
      <c r="F1052" s="211">
        <f t="shared" si="395"/>
        <v>1051</v>
      </c>
      <c r="G1052" s="206" t="s">
        <v>115</v>
      </c>
      <c r="H1052" s="206"/>
      <c r="I1052" s="224">
        <v>6</v>
      </c>
      <c r="J1052" s="211" t="str">
        <f t="shared" si="396"/>
        <v>831 mm</v>
      </c>
      <c r="K1052" s="234">
        <v>1</v>
      </c>
      <c r="L1052" s="208" t="s">
        <v>81</v>
      </c>
      <c r="M1052" s="227">
        <f t="shared" si="397"/>
        <v>0.83100000000000007</v>
      </c>
      <c r="N1052" s="208" t="s">
        <v>139</v>
      </c>
      <c r="O1052" s="246">
        <f>VLOOKUP(I1052,BM!$A$2:$X$104,12,FALSE)</f>
        <v>0.9</v>
      </c>
      <c r="P1052" s="208" t="s">
        <v>112</v>
      </c>
      <c r="Q1052" s="240">
        <f t="shared" si="394"/>
        <v>0.74790000000000012</v>
      </c>
      <c r="R1052" s="239">
        <v>1</v>
      </c>
      <c r="S1052" s="240">
        <f t="shared" si="355"/>
        <v>1.75</v>
      </c>
      <c r="T1052" s="216" t="s">
        <v>48</v>
      </c>
      <c r="U1052" s="196" t="str">
        <f t="shared" ref="U1052:U1114" si="398">CONCATENATE(S1052," ",T1052)</f>
        <v>1.75 Hrs</v>
      </c>
    </row>
    <row r="1053" spans="3:21" s="185" customFormat="1" ht="20.25" customHeight="1">
      <c r="C1053" s="198"/>
      <c r="D1053" s="203">
        <f t="shared" si="375"/>
        <v>1053</v>
      </c>
      <c r="E1053" s="207" t="s">
        <v>431</v>
      </c>
      <c r="F1053" s="211">
        <f t="shared" si="395"/>
        <v>1052</v>
      </c>
      <c r="G1053" s="206" t="s">
        <v>61</v>
      </c>
      <c r="H1053" s="206"/>
      <c r="I1053" s="224">
        <v>6</v>
      </c>
      <c r="J1053" s="211" t="str">
        <f t="shared" si="396"/>
        <v>831 mm</v>
      </c>
      <c r="K1053" s="234">
        <v>1</v>
      </c>
      <c r="L1053" s="208" t="s">
        <v>81</v>
      </c>
      <c r="M1053" s="227">
        <f t="shared" si="397"/>
        <v>0.83100000000000007</v>
      </c>
      <c r="N1053" s="208" t="s">
        <v>139</v>
      </c>
      <c r="O1053" s="246">
        <f>VLOOKUP(I1053,BM!$A$2:$X$104,20,FALSE)</f>
        <v>0.5</v>
      </c>
      <c r="P1053" s="208" t="s">
        <v>112</v>
      </c>
      <c r="Q1053" s="240">
        <f t="shared" si="394"/>
        <v>0.41550000000000004</v>
      </c>
      <c r="R1053" s="239">
        <v>1</v>
      </c>
      <c r="S1053" s="240">
        <f t="shared" ref="S1053:S1116" si="399">ROUND(Q1053+R1053,2)</f>
        <v>1.42</v>
      </c>
      <c r="T1053" s="216" t="s">
        <v>48</v>
      </c>
      <c r="U1053" s="196" t="str">
        <f t="shared" si="398"/>
        <v>1.42 Hrs</v>
      </c>
    </row>
    <row r="1054" spans="3:21" s="185" customFormat="1" ht="20.25" customHeight="1">
      <c r="C1054" s="198"/>
      <c r="D1054" s="203">
        <f t="shared" si="375"/>
        <v>1054</v>
      </c>
      <c r="E1054" s="207" t="s">
        <v>432</v>
      </c>
      <c r="F1054" s="211">
        <f t="shared" si="395"/>
        <v>1053</v>
      </c>
      <c r="G1054" s="206" t="s">
        <v>286</v>
      </c>
      <c r="H1054" s="206"/>
      <c r="I1054" s="224">
        <v>18</v>
      </c>
      <c r="J1054" s="211" t="str">
        <f t="shared" si="396"/>
        <v>831 mm</v>
      </c>
      <c r="K1054" s="234">
        <v>1</v>
      </c>
      <c r="L1054" s="208" t="s">
        <v>81</v>
      </c>
      <c r="M1054" s="217">
        <v>1</v>
      </c>
      <c r="N1054" s="208" t="s">
        <v>81</v>
      </c>
      <c r="O1054" s="218">
        <v>3</v>
      </c>
      <c r="P1054" s="208" t="s">
        <v>112</v>
      </c>
      <c r="Q1054" s="240">
        <f t="shared" si="394"/>
        <v>3</v>
      </c>
      <c r="R1054" s="239">
        <v>1</v>
      </c>
      <c r="S1054" s="240">
        <f t="shared" si="399"/>
        <v>4</v>
      </c>
      <c r="T1054" s="216" t="s">
        <v>48</v>
      </c>
      <c r="U1054" s="196" t="str">
        <f t="shared" si="398"/>
        <v>4 Hrs</v>
      </c>
    </row>
    <row r="1055" spans="3:21" s="185" customFormat="1" ht="20.25" customHeight="1">
      <c r="C1055" s="198">
        <f>D1055</f>
        <v>1055</v>
      </c>
      <c r="D1055" s="203">
        <f t="shared" si="375"/>
        <v>1055</v>
      </c>
      <c r="E1055" s="204" t="s">
        <v>433</v>
      </c>
      <c r="F1055" s="210">
        <f>D1048</f>
        <v>1048</v>
      </c>
      <c r="G1055" s="206"/>
      <c r="H1055" s="206"/>
      <c r="I1055" s="208"/>
      <c r="J1055" s="208"/>
      <c r="K1055" s="234"/>
      <c r="L1055" s="208"/>
      <c r="M1055" s="217"/>
      <c r="N1055" s="208"/>
      <c r="O1055" s="218"/>
      <c r="P1055" s="208"/>
      <c r="Q1055" s="240"/>
      <c r="R1055" s="239"/>
      <c r="S1055" s="240"/>
      <c r="T1055" s="216"/>
      <c r="U1055" s="196"/>
    </row>
    <row r="1056" spans="3:21" s="185" customFormat="1" ht="20.25" customHeight="1">
      <c r="C1056" s="198"/>
      <c r="D1056" s="203">
        <f t="shared" si="375"/>
        <v>1056</v>
      </c>
      <c r="E1056" s="207" t="s">
        <v>434</v>
      </c>
      <c r="F1056" s="211"/>
      <c r="G1056" s="206" t="s">
        <v>312</v>
      </c>
      <c r="H1056" s="206"/>
      <c r="I1056" s="224">
        <v>18</v>
      </c>
      <c r="J1056" s="211" t="str">
        <f>J1054</f>
        <v>831 mm</v>
      </c>
      <c r="K1056" s="234">
        <v>1</v>
      </c>
      <c r="L1056" s="208" t="s">
        <v>39</v>
      </c>
      <c r="M1056" s="217">
        <v>1</v>
      </c>
      <c r="N1056" s="208" t="s">
        <v>39</v>
      </c>
      <c r="O1056" s="218">
        <v>1</v>
      </c>
      <c r="P1056" s="208" t="s">
        <v>435</v>
      </c>
      <c r="Q1056" s="240">
        <f t="shared" ref="Q1056" si="400">M1056*O1056</f>
        <v>1</v>
      </c>
      <c r="R1056" s="239"/>
      <c r="S1056" s="240">
        <f t="shared" si="399"/>
        <v>1</v>
      </c>
      <c r="T1056" s="216" t="s">
        <v>42</v>
      </c>
      <c r="U1056" s="196" t="str">
        <f t="shared" si="398"/>
        <v>1 Days</v>
      </c>
    </row>
    <row r="1057" spans="3:21" s="185" customFormat="1" ht="20.25" customHeight="1">
      <c r="C1057" s="198">
        <f>D1057</f>
        <v>1057</v>
      </c>
      <c r="D1057" s="203">
        <f t="shared" si="375"/>
        <v>1057</v>
      </c>
      <c r="E1057" s="204" t="s">
        <v>436</v>
      </c>
      <c r="F1057" s="210">
        <f>D1055</f>
        <v>1055</v>
      </c>
      <c r="G1057" s="206"/>
      <c r="H1057" s="206"/>
      <c r="I1057" s="208"/>
      <c r="J1057" s="208"/>
      <c r="K1057" s="234"/>
      <c r="L1057" s="208"/>
      <c r="M1057" s="217"/>
      <c r="N1057" s="208"/>
      <c r="O1057" s="218"/>
      <c r="P1057" s="208"/>
      <c r="Q1057" s="240"/>
      <c r="R1057" s="239"/>
      <c r="S1057" s="240"/>
      <c r="T1057" s="216"/>
      <c r="U1057" s="196"/>
    </row>
    <row r="1058" spans="3:21" s="185" customFormat="1" ht="20.25" customHeight="1">
      <c r="C1058" s="198"/>
      <c r="D1058" s="203">
        <f t="shared" si="375"/>
        <v>1058</v>
      </c>
      <c r="E1058" s="207" t="s">
        <v>437</v>
      </c>
      <c r="F1058" s="211"/>
      <c r="G1058" s="206" t="s">
        <v>348</v>
      </c>
      <c r="H1058" s="206"/>
      <c r="I1058" s="233">
        <f>I1056</f>
        <v>18</v>
      </c>
      <c r="J1058" s="225" t="s">
        <v>317</v>
      </c>
      <c r="K1058" s="234">
        <v>1</v>
      </c>
      <c r="L1058" s="208" t="s">
        <v>81</v>
      </c>
      <c r="M1058" s="227">
        <f>LEFT(J1058,SEARCH(" ",J1058,1)-1)*K1058*3.142*0.001*2</f>
        <v>9.8030399999999993</v>
      </c>
      <c r="N1058" s="208" t="s">
        <v>139</v>
      </c>
      <c r="O1058" s="246">
        <f>VLOOKUP(I1058,BM!$A$2:$X$104,13,FALSE)</f>
        <v>0.45</v>
      </c>
      <c r="P1058" s="208" t="s">
        <v>112</v>
      </c>
      <c r="Q1058" s="240">
        <f t="shared" ref="Q1058:Q1060" si="401">M1058*O1058</f>
        <v>4.4113679999999995</v>
      </c>
      <c r="R1058" s="239">
        <v>1</v>
      </c>
      <c r="S1058" s="240">
        <f t="shared" si="399"/>
        <v>5.41</v>
      </c>
      <c r="T1058" s="216" t="s">
        <v>48</v>
      </c>
      <c r="U1058" s="196" t="str">
        <f t="shared" si="398"/>
        <v>5.41 Hrs</v>
      </c>
    </row>
    <row r="1059" spans="3:21" s="185" customFormat="1" ht="20.25" customHeight="1">
      <c r="C1059" s="198"/>
      <c r="D1059" s="203">
        <f t="shared" si="375"/>
        <v>1059</v>
      </c>
      <c r="E1059" s="207" t="s">
        <v>438</v>
      </c>
      <c r="F1059" s="211">
        <f t="shared" ref="F1059:F1060" si="402">D1058</f>
        <v>1058</v>
      </c>
      <c r="G1059" s="206" t="s">
        <v>111</v>
      </c>
      <c r="H1059" s="206"/>
      <c r="I1059" s="224">
        <v>18</v>
      </c>
      <c r="J1059" s="208" t="str">
        <f>J1058</f>
        <v>1560 mm id</v>
      </c>
      <c r="K1059" s="234">
        <v>1</v>
      </c>
      <c r="L1059" s="208" t="s">
        <v>81</v>
      </c>
      <c r="M1059" s="227">
        <f>LEFT(J1059,SEARCH(" ",J1059,1)-1)*K1059*3.142*0.001</f>
        <v>4.9015199999999997</v>
      </c>
      <c r="N1059" s="208" t="s">
        <v>139</v>
      </c>
      <c r="O1059" s="246">
        <f>VLOOKUP(I1059,BM!$A$2:$X$104,16,FALSE)</f>
        <v>1</v>
      </c>
      <c r="P1059" s="208" t="s">
        <v>112</v>
      </c>
      <c r="Q1059" s="240">
        <f t="shared" si="401"/>
        <v>4.9015199999999997</v>
      </c>
      <c r="R1059" s="239">
        <v>1</v>
      </c>
      <c r="S1059" s="240">
        <f t="shared" si="399"/>
        <v>5.9</v>
      </c>
      <c r="T1059" s="216" t="s">
        <v>48</v>
      </c>
      <c r="U1059" s="196" t="str">
        <f t="shared" si="398"/>
        <v>5.9 Hrs</v>
      </c>
    </row>
    <row r="1060" spans="3:21" s="185" customFormat="1" ht="20.25" customHeight="1">
      <c r="C1060" s="198"/>
      <c r="D1060" s="203">
        <f t="shared" si="375"/>
        <v>1060</v>
      </c>
      <c r="E1060" s="207" t="s">
        <v>439</v>
      </c>
      <c r="F1060" s="211">
        <f t="shared" si="402"/>
        <v>1059</v>
      </c>
      <c r="G1060" s="206" t="s">
        <v>44</v>
      </c>
      <c r="H1060" s="206"/>
      <c r="I1060" s="224">
        <v>18</v>
      </c>
      <c r="J1060" s="208" t="str">
        <f>J1059</f>
        <v>1560 mm id</v>
      </c>
      <c r="K1060" s="234">
        <v>1</v>
      </c>
      <c r="L1060" s="208" t="s">
        <v>81</v>
      </c>
      <c r="M1060" s="217">
        <v>1</v>
      </c>
      <c r="N1060" s="208" t="s">
        <v>139</v>
      </c>
      <c r="O1060" s="218">
        <v>4</v>
      </c>
      <c r="P1060" s="208" t="s">
        <v>112</v>
      </c>
      <c r="Q1060" s="240">
        <f t="shared" si="401"/>
        <v>4</v>
      </c>
      <c r="R1060" s="239">
        <v>1</v>
      </c>
      <c r="S1060" s="240">
        <f t="shared" si="399"/>
        <v>5</v>
      </c>
      <c r="T1060" s="216" t="s">
        <v>48</v>
      </c>
      <c r="U1060" s="196" t="str">
        <f t="shared" si="398"/>
        <v>5 Hrs</v>
      </c>
    </row>
    <row r="1061" spans="3:21" s="185" customFormat="1" ht="20.25" customHeight="1">
      <c r="C1061" s="198">
        <f>D1061</f>
        <v>1061</v>
      </c>
      <c r="D1061" s="203">
        <f t="shared" si="375"/>
        <v>1061</v>
      </c>
      <c r="E1061" s="204" t="s">
        <v>440</v>
      </c>
      <c r="F1061" s="210">
        <f>D1057</f>
        <v>1057</v>
      </c>
      <c r="G1061" s="206"/>
      <c r="H1061" s="206"/>
      <c r="I1061" s="208"/>
      <c r="J1061" s="208"/>
      <c r="K1061" s="234"/>
      <c r="L1061" s="208"/>
      <c r="M1061" s="217"/>
      <c r="N1061" s="208"/>
      <c r="O1061" s="218"/>
      <c r="P1061" s="208"/>
      <c r="Q1061" s="240"/>
      <c r="R1061" s="239"/>
      <c r="S1061" s="240"/>
      <c r="T1061" s="216"/>
      <c r="U1061" s="196"/>
    </row>
    <row r="1062" spans="3:21" s="185" customFormat="1" ht="20.25" customHeight="1">
      <c r="C1062" s="198"/>
      <c r="D1062" s="203">
        <f t="shared" si="375"/>
        <v>1062</v>
      </c>
      <c r="E1062" s="207" t="s">
        <v>441</v>
      </c>
      <c r="F1062" s="211"/>
      <c r="G1062" s="206" t="s">
        <v>201</v>
      </c>
      <c r="H1062" s="206"/>
      <c r="I1062" s="224">
        <v>18</v>
      </c>
      <c r="J1062" s="208" t="str">
        <f>J1060</f>
        <v>1560 mm id</v>
      </c>
      <c r="K1062" s="234">
        <v>1</v>
      </c>
      <c r="L1062" s="208" t="s">
        <v>81</v>
      </c>
      <c r="M1062" s="217">
        <v>1</v>
      </c>
      <c r="N1062" s="208" t="s">
        <v>39</v>
      </c>
      <c r="O1062" s="218">
        <v>1</v>
      </c>
      <c r="P1062" s="208" t="s">
        <v>112</v>
      </c>
      <c r="Q1062" s="240">
        <f t="shared" ref="Q1062:Q1066" si="403">M1062*O1062</f>
        <v>1</v>
      </c>
      <c r="R1062" s="239">
        <v>1</v>
      </c>
      <c r="S1062" s="240">
        <f t="shared" si="399"/>
        <v>2</v>
      </c>
      <c r="T1062" s="216" t="s">
        <v>48</v>
      </c>
      <c r="U1062" s="196" t="str">
        <f t="shared" si="398"/>
        <v>2 Hrs</v>
      </c>
    </row>
    <row r="1063" spans="3:21" s="185" customFormat="1" ht="20.25" customHeight="1">
      <c r="C1063" s="198"/>
      <c r="D1063" s="203">
        <f t="shared" si="375"/>
        <v>1063</v>
      </c>
      <c r="E1063" s="207" t="s">
        <v>442</v>
      </c>
      <c r="F1063" s="211">
        <f t="shared" ref="F1063:F1066" si="404">D1062</f>
        <v>1062</v>
      </c>
      <c r="G1063" s="206" t="s">
        <v>115</v>
      </c>
      <c r="H1063" s="206"/>
      <c r="I1063" s="224">
        <v>12</v>
      </c>
      <c r="J1063" s="208" t="str">
        <f>J1062</f>
        <v>1560 mm id</v>
      </c>
      <c r="K1063" s="234">
        <v>1</v>
      </c>
      <c r="L1063" s="208" t="s">
        <v>81</v>
      </c>
      <c r="M1063" s="227">
        <f t="shared" ref="M1063:M1066" si="405">LEFT(J1063,SEARCH(" ",J1063,1)-1)*K1063*3.142*0.001</f>
        <v>4.9015199999999997</v>
      </c>
      <c r="N1063" s="208" t="s">
        <v>249</v>
      </c>
      <c r="O1063" s="246">
        <f>VLOOKUP(I1063,BM!$A$2:$X$104,17,FALSE)</f>
        <v>2.5</v>
      </c>
      <c r="P1063" s="208" t="s">
        <v>112</v>
      </c>
      <c r="Q1063" s="240">
        <f t="shared" si="403"/>
        <v>12.253799999999998</v>
      </c>
      <c r="R1063" s="239">
        <v>1</v>
      </c>
      <c r="S1063" s="240">
        <f t="shared" si="399"/>
        <v>13.25</v>
      </c>
      <c r="T1063" s="216" t="s">
        <v>48</v>
      </c>
      <c r="U1063" s="196" t="str">
        <f t="shared" si="398"/>
        <v>13.25 Hrs</v>
      </c>
    </row>
    <row r="1064" spans="3:21" s="185" customFormat="1" ht="20.25" customHeight="1">
      <c r="C1064" s="198"/>
      <c r="D1064" s="203">
        <f t="shared" si="375"/>
        <v>1064</v>
      </c>
      <c r="E1064" s="207" t="s">
        <v>443</v>
      </c>
      <c r="F1064" s="211">
        <f t="shared" si="404"/>
        <v>1063</v>
      </c>
      <c r="G1064" s="206" t="s">
        <v>61</v>
      </c>
      <c r="H1064" s="206"/>
      <c r="I1064" s="224">
        <v>18</v>
      </c>
      <c r="J1064" s="208" t="str">
        <f>J1063</f>
        <v>1560 mm id</v>
      </c>
      <c r="K1064" s="234">
        <v>1</v>
      </c>
      <c r="L1064" s="208" t="s">
        <v>81</v>
      </c>
      <c r="M1064" s="227">
        <f t="shared" si="405"/>
        <v>4.9015199999999997</v>
      </c>
      <c r="N1064" s="208" t="s">
        <v>249</v>
      </c>
      <c r="O1064" s="246">
        <f>VLOOKUP(I1064,BM!$A$2:$X$104,18,FALSE)</f>
        <v>1</v>
      </c>
      <c r="P1064" s="208" t="s">
        <v>112</v>
      </c>
      <c r="Q1064" s="240">
        <f t="shared" si="403"/>
        <v>4.9015199999999997</v>
      </c>
      <c r="R1064" s="239">
        <v>1</v>
      </c>
      <c r="S1064" s="240">
        <f t="shared" si="399"/>
        <v>5.9</v>
      </c>
      <c r="T1064" s="216" t="s">
        <v>48</v>
      </c>
      <c r="U1064" s="196" t="str">
        <f t="shared" si="398"/>
        <v>5.9 Hrs</v>
      </c>
    </row>
    <row r="1065" spans="3:21" s="185" customFormat="1" ht="20.25" customHeight="1">
      <c r="C1065" s="198"/>
      <c r="D1065" s="203">
        <f t="shared" si="375"/>
        <v>1065</v>
      </c>
      <c r="E1065" s="207" t="s">
        <v>444</v>
      </c>
      <c r="F1065" s="211">
        <f t="shared" si="404"/>
        <v>1064</v>
      </c>
      <c r="G1065" s="206" t="s">
        <v>115</v>
      </c>
      <c r="H1065" s="206"/>
      <c r="I1065" s="224">
        <v>8</v>
      </c>
      <c r="J1065" s="208" t="str">
        <f>J1064</f>
        <v>1560 mm id</v>
      </c>
      <c r="K1065" s="234">
        <v>1</v>
      </c>
      <c r="L1065" s="208" t="s">
        <v>81</v>
      </c>
      <c r="M1065" s="227">
        <f t="shared" si="405"/>
        <v>4.9015199999999997</v>
      </c>
      <c r="N1065" s="208" t="s">
        <v>249</v>
      </c>
      <c r="O1065" s="246">
        <f>VLOOKUP(I1065,BM!$A$2:$X$104,17,FALSE)</f>
        <v>1.36</v>
      </c>
      <c r="P1065" s="208" t="s">
        <v>112</v>
      </c>
      <c r="Q1065" s="240">
        <f t="shared" si="403"/>
        <v>6.6660671999999996</v>
      </c>
      <c r="R1065" s="239">
        <v>1</v>
      </c>
      <c r="S1065" s="240">
        <f t="shared" si="399"/>
        <v>7.67</v>
      </c>
      <c r="T1065" s="216" t="s">
        <v>48</v>
      </c>
      <c r="U1065" s="196" t="str">
        <f t="shared" si="398"/>
        <v>7.67 Hrs</v>
      </c>
    </row>
    <row r="1066" spans="3:21" s="185" customFormat="1" ht="20.25" customHeight="1">
      <c r="C1066" s="198"/>
      <c r="D1066" s="203">
        <f t="shared" si="375"/>
        <v>1066</v>
      </c>
      <c r="E1066" s="207" t="s">
        <v>445</v>
      </c>
      <c r="F1066" s="211">
        <f t="shared" si="404"/>
        <v>1065</v>
      </c>
      <c r="G1066" s="206" t="s">
        <v>61</v>
      </c>
      <c r="H1066" s="206"/>
      <c r="I1066" s="224">
        <v>18</v>
      </c>
      <c r="J1066" s="208" t="str">
        <f>J1065</f>
        <v>1560 mm id</v>
      </c>
      <c r="K1066" s="234">
        <v>1</v>
      </c>
      <c r="L1066" s="208" t="s">
        <v>81</v>
      </c>
      <c r="M1066" s="227">
        <f t="shared" si="405"/>
        <v>4.9015199999999997</v>
      </c>
      <c r="N1066" s="208" t="s">
        <v>249</v>
      </c>
      <c r="O1066" s="246">
        <f>VLOOKUP(I1066,BM!$A$2:$X$104,20,FALSE)</f>
        <v>0.5</v>
      </c>
      <c r="P1066" s="208" t="s">
        <v>112</v>
      </c>
      <c r="Q1066" s="240">
        <f t="shared" si="403"/>
        <v>2.4507599999999998</v>
      </c>
      <c r="R1066" s="239">
        <v>1</v>
      </c>
      <c r="S1066" s="240">
        <f t="shared" si="399"/>
        <v>3.45</v>
      </c>
      <c r="T1066" s="216" t="s">
        <v>48</v>
      </c>
      <c r="U1066" s="196" t="str">
        <f t="shared" si="398"/>
        <v>3.45 Hrs</v>
      </c>
    </row>
    <row r="1067" spans="3:21" s="185" customFormat="1" ht="20.25" customHeight="1">
      <c r="C1067" s="198">
        <f>D1067</f>
        <v>1067</v>
      </c>
      <c r="D1067" s="203">
        <f t="shared" si="375"/>
        <v>1067</v>
      </c>
      <c r="E1067" s="204" t="s">
        <v>446</v>
      </c>
      <c r="F1067" s="210">
        <f>D1061</f>
        <v>1061</v>
      </c>
      <c r="G1067" s="206"/>
      <c r="H1067" s="206"/>
      <c r="I1067" s="208"/>
      <c r="J1067" s="208"/>
      <c r="K1067" s="234"/>
      <c r="L1067" s="208"/>
      <c r="M1067" s="217"/>
      <c r="N1067" s="208"/>
      <c r="O1067" s="218"/>
      <c r="P1067" s="208"/>
      <c r="Q1067" s="240"/>
      <c r="R1067" s="239"/>
      <c r="S1067" s="240"/>
      <c r="T1067" s="216"/>
      <c r="U1067" s="196"/>
    </row>
    <row r="1068" spans="3:21" s="185" customFormat="1" ht="20.25" customHeight="1">
      <c r="C1068" s="198"/>
      <c r="D1068" s="203">
        <f t="shared" si="375"/>
        <v>1068</v>
      </c>
      <c r="E1068" s="207" t="s">
        <v>447</v>
      </c>
      <c r="F1068" s="211"/>
      <c r="G1068" s="206" t="s">
        <v>52</v>
      </c>
      <c r="H1068" s="206"/>
      <c r="I1068" s="224">
        <f>I1062</f>
        <v>18</v>
      </c>
      <c r="J1068" s="208" t="str">
        <f>J1066</f>
        <v>1560 mm id</v>
      </c>
      <c r="K1068" s="234">
        <v>1</v>
      </c>
      <c r="L1068" s="208" t="s">
        <v>81</v>
      </c>
      <c r="M1068" s="227">
        <f t="shared" ref="M1068:M1071" si="406">LEFT(J1068,SEARCH(" ",J1068,1)-1)*K1068*3.142*0.001</f>
        <v>4.9015199999999997</v>
      </c>
      <c r="N1068" s="208" t="s">
        <v>139</v>
      </c>
      <c r="O1068" s="246">
        <f>VLOOKUP(I1068,BM!$A$2:$X$104,14,FALSE)</f>
        <v>0.5</v>
      </c>
      <c r="P1068" s="208" t="s">
        <v>112</v>
      </c>
      <c r="Q1068" s="240">
        <f t="shared" ref="Q1068:Q1071" si="407">M1068*O1068</f>
        <v>2.4507599999999998</v>
      </c>
      <c r="R1068" s="239">
        <v>1</v>
      </c>
      <c r="S1068" s="240">
        <f t="shared" si="399"/>
        <v>3.45</v>
      </c>
      <c r="T1068" s="216" t="s">
        <v>48</v>
      </c>
      <c r="U1068" s="196" t="str">
        <f t="shared" si="398"/>
        <v>3.45 Hrs</v>
      </c>
    </row>
    <row r="1069" spans="3:21" s="185" customFormat="1" ht="20.25" customHeight="1">
      <c r="C1069" s="198"/>
      <c r="D1069" s="203">
        <f t="shared" si="375"/>
        <v>1069</v>
      </c>
      <c r="E1069" s="207" t="s">
        <v>437</v>
      </c>
      <c r="F1069" s="211">
        <f t="shared" ref="F1069:F1071" si="408">D1068</f>
        <v>1068</v>
      </c>
      <c r="G1069" s="206" t="s">
        <v>44</v>
      </c>
      <c r="H1069" s="206"/>
      <c r="I1069" s="224">
        <f>I1063</f>
        <v>12</v>
      </c>
      <c r="J1069" s="208" t="str">
        <f>J1068</f>
        <v>1560 mm id</v>
      </c>
      <c r="K1069" s="234">
        <v>1</v>
      </c>
      <c r="L1069" s="208" t="s">
        <v>81</v>
      </c>
      <c r="M1069" s="227">
        <f t="shared" si="406"/>
        <v>4.9015199999999997</v>
      </c>
      <c r="N1069" s="208" t="s">
        <v>139</v>
      </c>
      <c r="O1069" s="246">
        <f>VLOOKUP(I1069,BM!$A$2:$X$104,15,FALSE)</f>
        <v>1</v>
      </c>
      <c r="P1069" s="208" t="s">
        <v>112</v>
      </c>
      <c r="Q1069" s="240">
        <f t="shared" si="407"/>
        <v>4.9015199999999997</v>
      </c>
      <c r="R1069" s="239">
        <v>1</v>
      </c>
      <c r="S1069" s="240">
        <f t="shared" si="399"/>
        <v>5.9</v>
      </c>
      <c r="T1069" s="216" t="s">
        <v>48</v>
      </c>
      <c r="U1069" s="196" t="str">
        <f t="shared" si="398"/>
        <v>5.9 Hrs</v>
      </c>
    </row>
    <row r="1070" spans="3:21" s="185" customFormat="1" ht="20.25" customHeight="1">
      <c r="C1070" s="198"/>
      <c r="D1070" s="203">
        <f t="shared" si="375"/>
        <v>1070</v>
      </c>
      <c r="E1070" s="207" t="s">
        <v>448</v>
      </c>
      <c r="F1070" s="211">
        <f t="shared" si="408"/>
        <v>1069</v>
      </c>
      <c r="G1070" s="206" t="s">
        <v>111</v>
      </c>
      <c r="H1070" s="206"/>
      <c r="I1070" s="224">
        <f>I1065</f>
        <v>8</v>
      </c>
      <c r="J1070" s="208" t="str">
        <f>J1069</f>
        <v>1560 mm id</v>
      </c>
      <c r="K1070" s="234">
        <v>1</v>
      </c>
      <c r="L1070" s="208" t="s">
        <v>81</v>
      </c>
      <c r="M1070" s="227">
        <f t="shared" si="406"/>
        <v>4.9015199999999997</v>
      </c>
      <c r="N1070" s="208" t="s">
        <v>139</v>
      </c>
      <c r="O1070" s="218">
        <v>4</v>
      </c>
      <c r="P1070" s="208" t="s">
        <v>112</v>
      </c>
      <c r="Q1070" s="240">
        <f t="shared" si="407"/>
        <v>19.606079999999999</v>
      </c>
      <c r="R1070" s="239">
        <v>1</v>
      </c>
      <c r="S1070" s="240">
        <f t="shared" si="399"/>
        <v>20.61</v>
      </c>
      <c r="T1070" s="216" t="s">
        <v>48</v>
      </c>
      <c r="U1070" s="196" t="str">
        <f t="shared" si="398"/>
        <v>20.61 Hrs</v>
      </c>
    </row>
    <row r="1071" spans="3:21" s="185" customFormat="1" ht="20.25" customHeight="1">
      <c r="C1071" s="198"/>
      <c r="D1071" s="203">
        <f t="shared" si="375"/>
        <v>1071</v>
      </c>
      <c r="E1071" s="207" t="s">
        <v>439</v>
      </c>
      <c r="F1071" s="211">
        <f t="shared" si="408"/>
        <v>1070</v>
      </c>
      <c r="G1071" s="206" t="s">
        <v>63</v>
      </c>
      <c r="H1071" s="206"/>
      <c r="I1071" s="224">
        <v>18</v>
      </c>
      <c r="J1071" s="208" t="str">
        <f>J1070</f>
        <v>1560 mm id</v>
      </c>
      <c r="K1071" s="234">
        <v>1</v>
      </c>
      <c r="L1071" s="208" t="s">
        <v>81</v>
      </c>
      <c r="M1071" s="227">
        <f t="shared" si="406"/>
        <v>4.9015199999999997</v>
      </c>
      <c r="N1071" s="208" t="s">
        <v>139</v>
      </c>
      <c r="O1071" s="218">
        <v>0.5</v>
      </c>
      <c r="P1071" s="208" t="s">
        <v>112</v>
      </c>
      <c r="Q1071" s="240">
        <f t="shared" si="407"/>
        <v>2.4507599999999998</v>
      </c>
      <c r="R1071" s="239">
        <v>1</v>
      </c>
      <c r="S1071" s="240">
        <f t="shared" si="399"/>
        <v>3.45</v>
      </c>
      <c r="T1071" s="216" t="s">
        <v>48</v>
      </c>
      <c r="U1071" s="196" t="str">
        <f t="shared" si="398"/>
        <v>3.45 Hrs</v>
      </c>
    </row>
    <row r="1072" spans="3:21" s="185" customFormat="1" ht="20.25" customHeight="1">
      <c r="C1072" s="198">
        <f>D1072</f>
        <v>1072</v>
      </c>
      <c r="D1072" s="203">
        <f t="shared" si="375"/>
        <v>1072</v>
      </c>
      <c r="E1072" s="204" t="s">
        <v>449</v>
      </c>
      <c r="F1072" s="210">
        <f>D1067</f>
        <v>1067</v>
      </c>
      <c r="G1072" s="208"/>
      <c r="H1072" s="208"/>
      <c r="I1072" s="208"/>
      <c r="J1072" s="208"/>
      <c r="K1072" s="234"/>
      <c r="L1072" s="208"/>
      <c r="M1072" s="217"/>
      <c r="N1072" s="208"/>
      <c r="O1072" s="218"/>
      <c r="P1072" s="208"/>
      <c r="Q1072" s="240"/>
      <c r="R1072" s="239"/>
      <c r="S1072" s="240"/>
      <c r="T1072" s="216"/>
      <c r="U1072" s="196"/>
    </row>
    <row r="1073" spans="3:21" s="185" customFormat="1" ht="20.25" customHeight="1">
      <c r="C1073" s="198"/>
      <c r="D1073" s="203">
        <f t="shared" si="375"/>
        <v>1073</v>
      </c>
      <c r="E1073" s="207" t="s">
        <v>450</v>
      </c>
      <c r="F1073" s="211"/>
      <c r="G1073" s="206" t="s">
        <v>201</v>
      </c>
      <c r="H1073" s="206"/>
      <c r="I1073" s="224">
        <v>12</v>
      </c>
      <c r="J1073" s="208" t="str">
        <f>J1071</f>
        <v>1560 mm id</v>
      </c>
      <c r="K1073" s="234">
        <v>1</v>
      </c>
      <c r="L1073" s="208" t="s">
        <v>81</v>
      </c>
      <c r="M1073" s="217">
        <v>1</v>
      </c>
      <c r="N1073" s="208" t="s">
        <v>249</v>
      </c>
      <c r="O1073" s="218">
        <v>1</v>
      </c>
      <c r="P1073" s="208" t="s">
        <v>112</v>
      </c>
      <c r="Q1073" s="240">
        <f t="shared" ref="Q1073:Q1077" si="409">M1073*O1073</f>
        <v>1</v>
      </c>
      <c r="R1073" s="239">
        <v>1</v>
      </c>
      <c r="S1073" s="240">
        <f t="shared" si="399"/>
        <v>2</v>
      </c>
      <c r="T1073" s="216" t="s">
        <v>48</v>
      </c>
      <c r="U1073" s="196" t="str">
        <f t="shared" si="398"/>
        <v>2 Hrs</v>
      </c>
    </row>
    <row r="1074" spans="3:21" s="185" customFormat="1" ht="20.25" customHeight="1">
      <c r="C1074" s="198"/>
      <c r="D1074" s="203">
        <f t="shared" si="375"/>
        <v>1074</v>
      </c>
      <c r="E1074" s="207" t="s">
        <v>451</v>
      </c>
      <c r="F1074" s="211">
        <f t="shared" ref="F1074:F1077" si="410">D1073</f>
        <v>1073</v>
      </c>
      <c r="G1074" s="206" t="s">
        <v>115</v>
      </c>
      <c r="H1074" s="206"/>
      <c r="I1074" s="224">
        <v>12</v>
      </c>
      <c r="J1074" s="208" t="str">
        <f>J1073</f>
        <v>1560 mm id</v>
      </c>
      <c r="K1074" s="234">
        <v>1</v>
      </c>
      <c r="L1074" s="208" t="s">
        <v>81</v>
      </c>
      <c r="M1074" s="227">
        <f t="shared" ref="M1074:M1077" si="411">LEFT(J1074,SEARCH(" ",J1074,1)-1)*K1074*3.142*0.001</f>
        <v>4.9015199999999997</v>
      </c>
      <c r="N1074" s="208" t="s">
        <v>249</v>
      </c>
      <c r="O1074" s="246">
        <f>VLOOKUP(I1074,BM!$A$2:$X$104,17,FALSE)</f>
        <v>2.5</v>
      </c>
      <c r="P1074" s="208" t="s">
        <v>112</v>
      </c>
      <c r="Q1074" s="240">
        <f t="shared" si="409"/>
        <v>12.253799999999998</v>
      </c>
      <c r="R1074" s="239">
        <v>1</v>
      </c>
      <c r="S1074" s="240">
        <f t="shared" si="399"/>
        <v>13.25</v>
      </c>
      <c r="T1074" s="216" t="s">
        <v>48</v>
      </c>
      <c r="U1074" s="196" t="str">
        <f t="shared" si="398"/>
        <v>13.25 Hrs</v>
      </c>
    </row>
    <row r="1075" spans="3:21" s="185" customFormat="1" ht="20.25" customHeight="1">
      <c r="C1075" s="198"/>
      <c r="D1075" s="203">
        <f t="shared" si="375"/>
        <v>1075</v>
      </c>
      <c r="E1075" s="207" t="s">
        <v>452</v>
      </c>
      <c r="F1075" s="211">
        <f t="shared" si="410"/>
        <v>1074</v>
      </c>
      <c r="G1075" s="206" t="s">
        <v>61</v>
      </c>
      <c r="H1075" s="206"/>
      <c r="I1075" s="224">
        <v>18</v>
      </c>
      <c r="J1075" s="208" t="str">
        <f>J1074</f>
        <v>1560 mm id</v>
      </c>
      <c r="K1075" s="234">
        <v>1</v>
      </c>
      <c r="L1075" s="208" t="s">
        <v>81</v>
      </c>
      <c r="M1075" s="227">
        <f t="shared" si="411"/>
        <v>4.9015199999999997</v>
      </c>
      <c r="N1075" s="208" t="s">
        <v>249</v>
      </c>
      <c r="O1075" s="246">
        <f>VLOOKUP(I1075,BM!$A$2:$X$104,18,FALSE)</f>
        <v>1</v>
      </c>
      <c r="P1075" s="208" t="s">
        <v>112</v>
      </c>
      <c r="Q1075" s="240">
        <f t="shared" si="409"/>
        <v>4.9015199999999997</v>
      </c>
      <c r="R1075" s="239">
        <v>1</v>
      </c>
      <c r="S1075" s="240">
        <f t="shared" si="399"/>
        <v>5.9</v>
      </c>
      <c r="T1075" s="216" t="s">
        <v>48</v>
      </c>
      <c r="U1075" s="196" t="str">
        <f t="shared" si="398"/>
        <v>5.9 Hrs</v>
      </c>
    </row>
    <row r="1076" spans="3:21" s="185" customFormat="1" ht="20.25" customHeight="1">
      <c r="C1076" s="198"/>
      <c r="D1076" s="203">
        <f t="shared" si="375"/>
        <v>1076</v>
      </c>
      <c r="E1076" s="207" t="s">
        <v>453</v>
      </c>
      <c r="F1076" s="211">
        <f t="shared" si="410"/>
        <v>1075</v>
      </c>
      <c r="G1076" s="206" t="s">
        <v>115</v>
      </c>
      <c r="H1076" s="206"/>
      <c r="I1076" s="224">
        <v>6</v>
      </c>
      <c r="J1076" s="208" t="str">
        <f>J1075</f>
        <v>1560 mm id</v>
      </c>
      <c r="K1076" s="234">
        <v>1</v>
      </c>
      <c r="L1076" s="208" t="s">
        <v>81</v>
      </c>
      <c r="M1076" s="227">
        <f t="shared" si="411"/>
        <v>4.9015199999999997</v>
      </c>
      <c r="N1076" s="208" t="s">
        <v>249</v>
      </c>
      <c r="O1076" s="246">
        <f>VLOOKUP(I1076,BM!$A$2:$X$104,17,FALSE)</f>
        <v>0.9</v>
      </c>
      <c r="P1076" s="208" t="s">
        <v>112</v>
      </c>
      <c r="Q1076" s="240">
        <f t="shared" si="409"/>
        <v>4.4113679999999995</v>
      </c>
      <c r="R1076" s="239">
        <v>1</v>
      </c>
      <c r="S1076" s="240">
        <f t="shared" si="399"/>
        <v>5.41</v>
      </c>
      <c r="T1076" s="216" t="s">
        <v>48</v>
      </c>
      <c r="U1076" s="196" t="str">
        <f t="shared" si="398"/>
        <v>5.41 Hrs</v>
      </c>
    </row>
    <row r="1077" spans="3:21" s="185" customFormat="1" ht="20.25" customHeight="1">
      <c r="C1077" s="198"/>
      <c r="D1077" s="203">
        <f t="shared" si="375"/>
        <v>1077</v>
      </c>
      <c r="E1077" s="207" t="s">
        <v>454</v>
      </c>
      <c r="F1077" s="211">
        <f t="shared" si="410"/>
        <v>1076</v>
      </c>
      <c r="G1077" s="206" t="s">
        <v>61</v>
      </c>
      <c r="H1077" s="206"/>
      <c r="I1077" s="224">
        <v>18</v>
      </c>
      <c r="J1077" s="208" t="str">
        <f>J1076</f>
        <v>1560 mm id</v>
      </c>
      <c r="K1077" s="234">
        <v>1</v>
      </c>
      <c r="L1077" s="208" t="s">
        <v>81</v>
      </c>
      <c r="M1077" s="227">
        <f t="shared" si="411"/>
        <v>4.9015199999999997</v>
      </c>
      <c r="N1077" s="208" t="s">
        <v>249</v>
      </c>
      <c r="O1077" s="246">
        <f>VLOOKUP(I1077,BM!$A$2:$X$104,20,FALSE)</f>
        <v>0.5</v>
      </c>
      <c r="P1077" s="208" t="s">
        <v>112</v>
      </c>
      <c r="Q1077" s="240">
        <f t="shared" si="409"/>
        <v>2.4507599999999998</v>
      </c>
      <c r="R1077" s="239">
        <v>1</v>
      </c>
      <c r="S1077" s="240">
        <f t="shared" si="399"/>
        <v>3.45</v>
      </c>
      <c r="T1077" s="216" t="s">
        <v>48</v>
      </c>
      <c r="U1077" s="196" t="str">
        <f t="shared" si="398"/>
        <v>3.45 Hrs</v>
      </c>
    </row>
    <row r="1078" spans="3:21" s="185" customFormat="1" ht="20.25" customHeight="1">
      <c r="C1078" s="198">
        <f>D1078</f>
        <v>1078</v>
      </c>
      <c r="D1078" s="203">
        <f t="shared" si="375"/>
        <v>1078</v>
      </c>
      <c r="E1078" s="204" t="s">
        <v>455</v>
      </c>
      <c r="F1078" s="210">
        <f>C1072</f>
        <v>1072</v>
      </c>
      <c r="G1078" s="206"/>
      <c r="H1078" s="206"/>
      <c r="I1078" s="208"/>
      <c r="J1078" s="208"/>
      <c r="K1078" s="234"/>
      <c r="L1078" s="208"/>
      <c r="M1078" s="217"/>
      <c r="N1078" s="208"/>
      <c r="O1078" s="218"/>
      <c r="P1078" s="208"/>
      <c r="Q1078" s="240"/>
      <c r="R1078" s="239"/>
      <c r="S1078" s="240"/>
      <c r="T1078" s="216"/>
      <c r="U1078" s="196"/>
    </row>
    <row r="1079" spans="3:21" s="185" customFormat="1" ht="20.25" customHeight="1">
      <c r="C1079" s="198"/>
      <c r="D1079" s="203">
        <f t="shared" si="375"/>
        <v>1079</v>
      </c>
      <c r="E1079" s="207" t="s">
        <v>456</v>
      </c>
      <c r="F1079" s="211"/>
      <c r="G1079" s="206" t="s">
        <v>312</v>
      </c>
      <c r="H1079" s="206"/>
      <c r="I1079" s="224">
        <v>18</v>
      </c>
      <c r="J1079" s="208" t="str">
        <f>J1077</f>
        <v>1560 mm id</v>
      </c>
      <c r="K1079" s="234">
        <v>1</v>
      </c>
      <c r="L1079" s="208" t="s">
        <v>39</v>
      </c>
      <c r="M1079" s="217">
        <v>1</v>
      </c>
      <c r="N1079" s="208" t="s">
        <v>457</v>
      </c>
      <c r="O1079" s="218">
        <v>1</v>
      </c>
      <c r="P1079" s="208" t="s">
        <v>41</v>
      </c>
      <c r="Q1079" s="240">
        <f t="shared" ref="Q1079" si="412">M1079*O1079</f>
        <v>1</v>
      </c>
      <c r="R1079" s="239"/>
      <c r="S1079" s="240">
        <f t="shared" si="399"/>
        <v>1</v>
      </c>
      <c r="T1079" s="216" t="s">
        <v>42</v>
      </c>
      <c r="U1079" s="196" t="str">
        <f t="shared" si="398"/>
        <v>1 Days</v>
      </c>
    </row>
    <row r="1080" spans="3:21" s="185" customFormat="1" ht="20.25" customHeight="1">
      <c r="C1080" s="198">
        <f>D1080</f>
        <v>1080</v>
      </c>
      <c r="D1080" s="203">
        <f t="shared" si="375"/>
        <v>1080</v>
      </c>
      <c r="E1080" s="204" t="s">
        <v>458</v>
      </c>
      <c r="F1080" s="210">
        <f>C1078</f>
        <v>1078</v>
      </c>
      <c r="G1080" s="206"/>
      <c r="H1080" s="206"/>
      <c r="I1080" s="208"/>
      <c r="J1080" s="208"/>
      <c r="K1080" s="234"/>
      <c r="L1080" s="208"/>
      <c r="M1080" s="217"/>
      <c r="N1080" s="208"/>
      <c r="O1080" s="218"/>
      <c r="P1080" s="208"/>
      <c r="Q1080" s="240"/>
      <c r="R1080" s="239"/>
      <c r="S1080" s="240"/>
      <c r="T1080" s="216"/>
      <c r="U1080" s="196"/>
    </row>
    <row r="1081" spans="3:21" s="185" customFormat="1" ht="20.25" customHeight="1">
      <c r="C1081" s="198"/>
      <c r="D1081" s="203">
        <f t="shared" si="375"/>
        <v>1081</v>
      </c>
      <c r="E1081" s="207" t="s">
        <v>459</v>
      </c>
      <c r="F1081" s="211"/>
      <c r="G1081" s="206" t="s">
        <v>44</v>
      </c>
      <c r="H1081" s="206"/>
      <c r="I1081" s="224">
        <v>18</v>
      </c>
      <c r="J1081" s="208" t="str">
        <f>J1079</f>
        <v>1560 mm id</v>
      </c>
      <c r="K1081" s="234">
        <v>1</v>
      </c>
      <c r="L1081" s="208" t="s">
        <v>81</v>
      </c>
      <c r="M1081" s="217">
        <v>1</v>
      </c>
      <c r="N1081" s="208" t="s">
        <v>81</v>
      </c>
      <c r="O1081" s="218">
        <v>4</v>
      </c>
      <c r="P1081" s="208" t="s">
        <v>112</v>
      </c>
      <c r="Q1081" s="240">
        <f t="shared" ref="Q1081:Q1082" si="413">M1081*O1081</f>
        <v>4</v>
      </c>
      <c r="R1081" s="239">
        <v>1</v>
      </c>
      <c r="S1081" s="240">
        <f t="shared" si="399"/>
        <v>5</v>
      </c>
      <c r="T1081" s="216" t="s">
        <v>48</v>
      </c>
      <c r="U1081" s="196" t="str">
        <f t="shared" si="398"/>
        <v>5 Hrs</v>
      </c>
    </row>
    <row r="1082" spans="3:21" s="185" customFormat="1" ht="20.25" customHeight="1">
      <c r="C1082" s="198"/>
      <c r="D1082" s="203">
        <f t="shared" si="375"/>
        <v>1082</v>
      </c>
      <c r="E1082" s="207" t="s">
        <v>460</v>
      </c>
      <c r="F1082" s="211">
        <f t="shared" ref="F1082" si="414">D1081</f>
        <v>1081</v>
      </c>
      <c r="G1082" s="206" t="s">
        <v>44</v>
      </c>
      <c r="H1082" s="206"/>
      <c r="I1082" s="224">
        <v>18</v>
      </c>
      <c r="J1082" s="208" t="str">
        <f>J1081</f>
        <v>1560 mm id</v>
      </c>
      <c r="K1082" s="234">
        <v>1</v>
      </c>
      <c r="L1082" s="208" t="s">
        <v>81</v>
      </c>
      <c r="M1082" s="217">
        <v>1</v>
      </c>
      <c r="N1082" s="208" t="s">
        <v>81</v>
      </c>
      <c r="O1082" s="218">
        <v>4</v>
      </c>
      <c r="P1082" s="208" t="s">
        <v>112</v>
      </c>
      <c r="Q1082" s="240">
        <f t="shared" si="413"/>
        <v>4</v>
      </c>
      <c r="R1082" s="239">
        <v>1</v>
      </c>
      <c r="S1082" s="240">
        <f t="shared" si="399"/>
        <v>5</v>
      </c>
      <c r="T1082" s="216" t="s">
        <v>48</v>
      </c>
      <c r="U1082" s="196" t="str">
        <f t="shared" si="398"/>
        <v>5 Hrs</v>
      </c>
    </row>
    <row r="1083" spans="3:21" s="185" customFormat="1" ht="20.25" customHeight="1">
      <c r="C1083" s="198">
        <f>D1083</f>
        <v>1083</v>
      </c>
      <c r="D1083" s="203">
        <f t="shared" si="375"/>
        <v>1083</v>
      </c>
      <c r="E1083" s="204" t="s">
        <v>461</v>
      </c>
      <c r="F1083" s="210">
        <f>C1080</f>
        <v>1080</v>
      </c>
      <c r="G1083" s="206"/>
      <c r="H1083" s="206"/>
      <c r="I1083" s="208"/>
      <c r="J1083" s="208"/>
      <c r="K1083" s="234"/>
      <c r="L1083" s="208"/>
      <c r="M1083" s="217"/>
      <c r="N1083" s="208"/>
      <c r="O1083" s="218"/>
      <c r="P1083" s="208"/>
      <c r="Q1083" s="240"/>
      <c r="R1083" s="239"/>
      <c r="S1083" s="240"/>
      <c r="T1083" s="216"/>
      <c r="U1083" s="196"/>
    </row>
    <row r="1084" spans="3:21" s="185" customFormat="1" ht="20.25" customHeight="1">
      <c r="C1084" s="198"/>
      <c r="D1084" s="203">
        <f t="shared" si="375"/>
        <v>1084</v>
      </c>
      <c r="E1084" s="207" t="s">
        <v>462</v>
      </c>
      <c r="F1084" s="211"/>
      <c r="G1084" s="206" t="s">
        <v>52</v>
      </c>
      <c r="H1084" s="206"/>
      <c r="I1084" s="208"/>
      <c r="J1084" s="234" t="s">
        <v>463</v>
      </c>
      <c r="K1084" s="234">
        <v>1</v>
      </c>
      <c r="L1084" s="208" t="s">
        <v>39</v>
      </c>
      <c r="M1084" s="217">
        <v>1</v>
      </c>
      <c r="N1084" s="208"/>
      <c r="O1084" s="246">
        <f>VLOOKUP(J1084,BM!$A$2:$X$104,2,FALSE)</f>
        <v>2</v>
      </c>
      <c r="P1084" s="208" t="s">
        <v>112</v>
      </c>
      <c r="Q1084" s="240">
        <f t="shared" ref="Q1084:Q1085" si="415">M1084*O1084</f>
        <v>2</v>
      </c>
      <c r="R1084" s="239">
        <v>1</v>
      </c>
      <c r="S1084" s="240">
        <f t="shared" si="399"/>
        <v>3</v>
      </c>
      <c r="T1084" s="216" t="s">
        <v>48</v>
      </c>
      <c r="U1084" s="196" t="str">
        <f t="shared" si="398"/>
        <v>3 Hrs</v>
      </c>
    </row>
    <row r="1085" spans="3:21" s="185" customFormat="1" ht="20.25" customHeight="1">
      <c r="C1085" s="198"/>
      <c r="D1085" s="203">
        <f t="shared" si="375"/>
        <v>1085</v>
      </c>
      <c r="E1085" s="207" t="s">
        <v>464</v>
      </c>
      <c r="F1085" s="211">
        <f t="shared" ref="F1085" si="416">D1084</f>
        <v>1084</v>
      </c>
      <c r="G1085" s="206" t="s">
        <v>52</v>
      </c>
      <c r="H1085" s="206"/>
      <c r="I1085" s="208"/>
      <c r="J1085" s="234" t="s">
        <v>463</v>
      </c>
      <c r="K1085" s="234">
        <v>1</v>
      </c>
      <c r="L1085" s="208" t="s">
        <v>39</v>
      </c>
      <c r="M1085" s="217">
        <v>1</v>
      </c>
      <c r="N1085" s="208"/>
      <c r="O1085" s="246">
        <f>VLOOKUP(J1085,BM!$A$2:$X$104,2,FALSE)</f>
        <v>2</v>
      </c>
      <c r="P1085" s="208" t="s">
        <v>112</v>
      </c>
      <c r="Q1085" s="240">
        <f t="shared" si="415"/>
        <v>2</v>
      </c>
      <c r="R1085" s="239">
        <v>1</v>
      </c>
      <c r="S1085" s="240">
        <f t="shared" si="399"/>
        <v>3</v>
      </c>
      <c r="T1085" s="216" t="s">
        <v>48</v>
      </c>
      <c r="U1085" s="196" t="str">
        <f t="shared" si="398"/>
        <v>3 Hrs</v>
      </c>
    </row>
    <row r="1086" spans="3:21" s="185" customFormat="1" ht="20.25" customHeight="1">
      <c r="C1086" s="198">
        <f>D1086</f>
        <v>1086</v>
      </c>
      <c r="D1086" s="203">
        <f t="shared" si="375"/>
        <v>1086</v>
      </c>
      <c r="E1086" s="204" t="s">
        <v>465</v>
      </c>
      <c r="F1086" s="210">
        <f>C1083</f>
        <v>1083</v>
      </c>
      <c r="G1086" s="206"/>
      <c r="H1086" s="206"/>
      <c r="I1086" s="208"/>
      <c r="J1086" s="208"/>
      <c r="K1086" s="234"/>
      <c r="L1086" s="208"/>
      <c r="M1086" s="217"/>
      <c r="N1086" s="208"/>
      <c r="O1086" s="218"/>
      <c r="P1086" s="208"/>
      <c r="Q1086" s="240"/>
      <c r="R1086" s="239"/>
      <c r="S1086" s="240"/>
      <c r="T1086" s="216"/>
      <c r="U1086" s="196"/>
    </row>
    <row r="1087" spans="3:21" s="185" customFormat="1" ht="20.25" customHeight="1">
      <c r="C1087" s="198"/>
      <c r="D1087" s="203">
        <f t="shared" si="375"/>
        <v>1087</v>
      </c>
      <c r="E1087" s="207" t="s">
        <v>466</v>
      </c>
      <c r="F1087" s="211"/>
      <c r="G1087" s="206" t="s">
        <v>121</v>
      </c>
      <c r="H1087" s="206"/>
      <c r="I1087" s="208"/>
      <c r="J1087" s="208" t="str">
        <f>J1085</f>
        <v>400nb</v>
      </c>
      <c r="K1087" s="234">
        <v>1</v>
      </c>
      <c r="L1087" s="208" t="s">
        <v>39</v>
      </c>
      <c r="M1087" s="217">
        <v>1</v>
      </c>
      <c r="N1087" s="208"/>
      <c r="O1087" s="246">
        <f>VLOOKUP(J1087,BM!$A$2:$X$104,4,FALSE)</f>
        <v>2.5538175999999999</v>
      </c>
      <c r="P1087" s="208" t="s">
        <v>112</v>
      </c>
      <c r="Q1087" s="240">
        <f t="shared" ref="Q1087:Q1088" si="417">M1087*O1087</f>
        <v>2.5538175999999999</v>
      </c>
      <c r="R1087" s="239">
        <v>1</v>
      </c>
      <c r="S1087" s="240">
        <f t="shared" si="399"/>
        <v>3.55</v>
      </c>
      <c r="T1087" s="216" t="s">
        <v>48</v>
      </c>
      <c r="U1087" s="196" t="str">
        <f t="shared" si="398"/>
        <v>3.55 Hrs</v>
      </c>
    </row>
    <row r="1088" spans="3:21" s="185" customFormat="1" ht="20.25" customHeight="1">
      <c r="C1088" s="198"/>
      <c r="D1088" s="203">
        <f t="shared" si="375"/>
        <v>1088</v>
      </c>
      <c r="E1088" s="207" t="s">
        <v>467</v>
      </c>
      <c r="F1088" s="211">
        <f t="shared" ref="F1088" si="418">D1087</f>
        <v>1087</v>
      </c>
      <c r="G1088" s="206" t="s">
        <v>121</v>
      </c>
      <c r="H1088" s="206"/>
      <c r="I1088" s="208"/>
      <c r="J1088" s="208" t="str">
        <f>J1085</f>
        <v>400nb</v>
      </c>
      <c r="K1088" s="234">
        <v>1</v>
      </c>
      <c r="L1088" s="208" t="s">
        <v>39</v>
      </c>
      <c r="M1088" s="217">
        <v>1</v>
      </c>
      <c r="N1088" s="208"/>
      <c r="O1088" s="246">
        <f>VLOOKUP(J1088,BM!$A$2:$X$104,4,FALSE)</f>
        <v>2.5538175999999999</v>
      </c>
      <c r="P1088" s="208" t="s">
        <v>112</v>
      </c>
      <c r="Q1088" s="240">
        <f t="shared" si="417"/>
        <v>2.5538175999999999</v>
      </c>
      <c r="R1088" s="239">
        <v>1</v>
      </c>
      <c r="S1088" s="240">
        <f t="shared" si="399"/>
        <v>3.55</v>
      </c>
      <c r="T1088" s="216" t="s">
        <v>48</v>
      </c>
      <c r="U1088" s="196" t="str">
        <f t="shared" si="398"/>
        <v>3.55 Hrs</v>
      </c>
    </row>
    <row r="1089" spans="3:21" s="185" customFormat="1" ht="20.25" customHeight="1">
      <c r="C1089" s="198">
        <f>D1089</f>
        <v>1089</v>
      </c>
      <c r="D1089" s="203">
        <f t="shared" si="375"/>
        <v>1089</v>
      </c>
      <c r="E1089" s="204" t="s">
        <v>468</v>
      </c>
      <c r="F1089" s="210">
        <f>C1086</f>
        <v>1086</v>
      </c>
      <c r="G1089" s="206"/>
      <c r="H1089" s="206"/>
      <c r="I1089" s="208"/>
      <c r="J1089" s="208"/>
      <c r="K1089" s="234"/>
      <c r="L1089" s="208"/>
      <c r="M1089" s="217"/>
      <c r="N1089" s="208"/>
      <c r="O1089" s="218"/>
      <c r="P1089" s="208"/>
      <c r="Q1089" s="240"/>
      <c r="R1089" s="239"/>
      <c r="S1089" s="240"/>
      <c r="T1089" s="216"/>
      <c r="U1089" s="196"/>
    </row>
    <row r="1090" spans="3:21" s="185" customFormat="1" ht="20.25" customHeight="1">
      <c r="C1090" s="198"/>
      <c r="D1090" s="203">
        <f t="shared" si="375"/>
        <v>1090</v>
      </c>
      <c r="E1090" s="207" t="s">
        <v>469</v>
      </c>
      <c r="F1090" s="211"/>
      <c r="G1090" s="206" t="s">
        <v>111</v>
      </c>
      <c r="H1090" s="206"/>
      <c r="I1090" s="208"/>
      <c r="J1090" s="208" t="s">
        <v>463</v>
      </c>
      <c r="K1090" s="234">
        <v>1</v>
      </c>
      <c r="L1090" s="208" t="s">
        <v>39</v>
      </c>
      <c r="M1090" s="217">
        <v>1</v>
      </c>
      <c r="N1090" s="208" t="s">
        <v>39</v>
      </c>
      <c r="O1090" s="246">
        <f>VLOOKUP(J1090,BM!$A$2:$X$104,5,FALSE)</f>
        <v>2</v>
      </c>
      <c r="P1090" s="208" t="s">
        <v>112</v>
      </c>
      <c r="Q1090" s="240">
        <f t="shared" ref="Q1090:Q1091" si="419">M1090*O1090</f>
        <v>2</v>
      </c>
      <c r="R1090" s="239">
        <v>1</v>
      </c>
      <c r="S1090" s="240">
        <f t="shared" si="399"/>
        <v>3</v>
      </c>
      <c r="T1090" s="216" t="s">
        <v>48</v>
      </c>
      <c r="U1090" s="196" t="str">
        <f t="shared" si="398"/>
        <v>3 Hrs</v>
      </c>
    </row>
    <row r="1091" spans="3:21" s="185" customFormat="1" ht="20.25" customHeight="1">
      <c r="C1091" s="198"/>
      <c r="D1091" s="203">
        <f t="shared" ref="D1091:D1164" si="420">D1090+1</f>
        <v>1091</v>
      </c>
      <c r="E1091" s="207" t="s">
        <v>470</v>
      </c>
      <c r="F1091" s="211">
        <f t="shared" ref="F1091" si="421">D1090</f>
        <v>1090</v>
      </c>
      <c r="G1091" s="206" t="s">
        <v>111</v>
      </c>
      <c r="H1091" s="206"/>
      <c r="I1091" s="208"/>
      <c r="J1091" s="208" t="s">
        <v>463</v>
      </c>
      <c r="K1091" s="234">
        <v>1</v>
      </c>
      <c r="L1091" s="208" t="s">
        <v>39</v>
      </c>
      <c r="M1091" s="217">
        <v>1</v>
      </c>
      <c r="N1091" s="208" t="s">
        <v>39</v>
      </c>
      <c r="O1091" s="246">
        <f>VLOOKUP(J1091,BM!$A$2:$X$104,5,FALSE)</f>
        <v>2</v>
      </c>
      <c r="P1091" s="208" t="s">
        <v>112</v>
      </c>
      <c r="Q1091" s="240">
        <f t="shared" si="419"/>
        <v>2</v>
      </c>
      <c r="R1091" s="239">
        <v>1</v>
      </c>
      <c r="S1091" s="240">
        <f t="shared" si="399"/>
        <v>3</v>
      </c>
      <c r="T1091" s="216" t="s">
        <v>48</v>
      </c>
      <c r="U1091" s="196" t="str">
        <f t="shared" si="398"/>
        <v>3 Hrs</v>
      </c>
    </row>
    <row r="1092" spans="3:21" s="185" customFormat="1" ht="20.25" customHeight="1">
      <c r="C1092" s="198">
        <f>D1092</f>
        <v>1092</v>
      </c>
      <c r="D1092" s="203">
        <f t="shared" si="420"/>
        <v>1092</v>
      </c>
      <c r="E1092" s="204" t="s">
        <v>691</v>
      </c>
      <c r="F1092" s="210">
        <f>C1089</f>
        <v>1089</v>
      </c>
      <c r="G1092" s="206"/>
      <c r="H1092" s="206"/>
      <c r="I1092" s="208"/>
      <c r="J1092" s="208"/>
      <c r="K1092" s="234"/>
      <c r="L1092" s="208"/>
      <c r="M1092" s="217"/>
      <c r="N1092" s="208"/>
      <c r="O1092" s="218"/>
      <c r="P1092" s="208"/>
      <c r="Q1092" s="240">
        <f t="shared" ref="Q1092:Q1101" si="422">M1092*O1092</f>
        <v>0</v>
      </c>
      <c r="R1092" s="239"/>
      <c r="S1092" s="240"/>
      <c r="T1092" s="216" t="s">
        <v>48</v>
      </c>
      <c r="U1092" s="196"/>
    </row>
    <row r="1093" spans="3:21" s="185" customFormat="1" ht="20.25" customHeight="1">
      <c r="C1093" s="198"/>
      <c r="D1093" s="203">
        <f t="shared" ref="D1093:D1101" si="423">D1092+1</f>
        <v>1093</v>
      </c>
      <c r="E1093" s="207" t="s">
        <v>692</v>
      </c>
      <c r="F1093" s="211"/>
      <c r="G1093" s="206" t="s">
        <v>299</v>
      </c>
      <c r="H1093" s="206"/>
      <c r="I1093" s="208"/>
      <c r="J1093" s="208"/>
      <c r="K1093" s="234">
        <v>1</v>
      </c>
      <c r="L1093" s="208" t="s">
        <v>39</v>
      </c>
      <c r="M1093" s="217">
        <v>1</v>
      </c>
      <c r="N1093" s="208" t="s">
        <v>249</v>
      </c>
      <c r="O1093" s="218">
        <v>16</v>
      </c>
      <c r="P1093" s="208" t="s">
        <v>112</v>
      </c>
      <c r="Q1093" s="240">
        <f t="shared" si="422"/>
        <v>16</v>
      </c>
      <c r="R1093" s="239">
        <v>1</v>
      </c>
      <c r="S1093" s="240">
        <f t="shared" si="399"/>
        <v>17</v>
      </c>
      <c r="T1093" s="216" t="s">
        <v>48</v>
      </c>
      <c r="U1093" s="196" t="str">
        <f t="shared" si="398"/>
        <v>17 Hrs</v>
      </c>
    </row>
    <row r="1094" spans="3:21" s="185" customFormat="1" ht="20.25" customHeight="1">
      <c r="C1094" s="198"/>
      <c r="D1094" s="203">
        <f t="shared" si="423"/>
        <v>1094</v>
      </c>
      <c r="E1094" s="207" t="s">
        <v>693</v>
      </c>
      <c r="F1094" s="211"/>
      <c r="G1094" s="206" t="s">
        <v>299</v>
      </c>
      <c r="H1094" s="206"/>
      <c r="I1094" s="224" t="s">
        <v>376</v>
      </c>
      <c r="J1094" s="234" t="s">
        <v>376</v>
      </c>
      <c r="K1094" s="234">
        <v>1</v>
      </c>
      <c r="L1094" s="208" t="s">
        <v>39</v>
      </c>
      <c r="M1094" s="217">
        <v>1</v>
      </c>
      <c r="N1094" s="208" t="s">
        <v>249</v>
      </c>
      <c r="O1094" s="246">
        <f>VLOOKUP(I1094,BM!$A$2:$X$104,11,FALSE)</f>
        <v>4</v>
      </c>
      <c r="P1094" s="208" t="s">
        <v>112</v>
      </c>
      <c r="Q1094" s="240">
        <f t="shared" si="422"/>
        <v>4</v>
      </c>
      <c r="R1094" s="239">
        <v>1</v>
      </c>
      <c r="S1094" s="240">
        <f t="shared" si="399"/>
        <v>5</v>
      </c>
      <c r="T1094" s="216" t="s">
        <v>48</v>
      </c>
      <c r="U1094" s="196" t="str">
        <f t="shared" si="398"/>
        <v>5 Hrs</v>
      </c>
    </row>
    <row r="1095" spans="3:21" s="185" customFormat="1" ht="20.25" customHeight="1">
      <c r="C1095" s="198"/>
      <c r="D1095" s="203">
        <f t="shared" si="423"/>
        <v>1095</v>
      </c>
      <c r="E1095" s="207" t="s">
        <v>694</v>
      </c>
      <c r="F1095" s="211"/>
      <c r="G1095" s="206" t="s">
        <v>299</v>
      </c>
      <c r="H1095" s="206"/>
      <c r="I1095" s="224" t="s">
        <v>463</v>
      </c>
      <c r="J1095" s="234" t="s">
        <v>695</v>
      </c>
      <c r="K1095" s="234">
        <v>1</v>
      </c>
      <c r="L1095" s="208" t="s">
        <v>39</v>
      </c>
      <c r="M1095" s="217">
        <v>1</v>
      </c>
      <c r="N1095" s="208" t="s">
        <v>249</v>
      </c>
      <c r="O1095" s="246">
        <f>VLOOKUP(I1095,BM!$A$2:$X$104,11,FALSE)</f>
        <v>4</v>
      </c>
      <c r="P1095" s="208" t="s">
        <v>112</v>
      </c>
      <c r="Q1095" s="240">
        <f t="shared" si="422"/>
        <v>4</v>
      </c>
      <c r="R1095" s="239">
        <v>1</v>
      </c>
      <c r="S1095" s="240">
        <f t="shared" si="399"/>
        <v>5</v>
      </c>
      <c r="T1095" s="216" t="s">
        <v>48</v>
      </c>
      <c r="U1095" s="196" t="str">
        <f t="shared" si="398"/>
        <v>5 Hrs</v>
      </c>
    </row>
    <row r="1096" spans="3:21" s="185" customFormat="1" ht="20.25" customHeight="1">
      <c r="C1096" s="198"/>
      <c r="D1096" s="203">
        <f t="shared" si="423"/>
        <v>1096</v>
      </c>
      <c r="E1096" s="207" t="s">
        <v>696</v>
      </c>
      <c r="F1096" s="211"/>
      <c r="G1096" s="206" t="s">
        <v>115</v>
      </c>
      <c r="H1096" s="206"/>
      <c r="I1096" s="224">
        <v>18</v>
      </c>
      <c r="J1096" s="234" t="s">
        <v>697</v>
      </c>
      <c r="K1096" s="234">
        <v>1</v>
      </c>
      <c r="L1096" s="208" t="s">
        <v>39</v>
      </c>
      <c r="M1096" s="227">
        <f>LEFT(J1096,SEARCH(" ",J1096,1)-1)*3.142/1000</f>
        <v>3.0540240000000001</v>
      </c>
      <c r="N1096" s="208" t="s">
        <v>249</v>
      </c>
      <c r="O1096" s="246">
        <f>VLOOKUP(I1096,BM!$A$2:$X$104,17,FALSE)</f>
        <v>4.9000000000000004</v>
      </c>
      <c r="P1096" s="208" t="s">
        <v>112</v>
      </c>
      <c r="Q1096" s="240">
        <f t="shared" si="422"/>
        <v>14.964717600000002</v>
      </c>
      <c r="R1096" s="239">
        <v>1</v>
      </c>
      <c r="S1096" s="240">
        <f t="shared" si="399"/>
        <v>15.96</v>
      </c>
      <c r="T1096" s="216" t="s">
        <v>48</v>
      </c>
      <c r="U1096" s="196" t="str">
        <f t="shared" si="398"/>
        <v>15.96 Hrs</v>
      </c>
    </row>
    <row r="1097" spans="3:21" s="185" customFormat="1" ht="20.25" customHeight="1">
      <c r="C1097" s="198"/>
      <c r="D1097" s="203">
        <f t="shared" si="423"/>
        <v>1097</v>
      </c>
      <c r="E1097" s="207" t="s">
        <v>698</v>
      </c>
      <c r="F1097" s="211"/>
      <c r="G1097" s="206" t="s">
        <v>115</v>
      </c>
      <c r="H1097" s="206"/>
      <c r="I1097" s="224">
        <v>18</v>
      </c>
      <c r="J1097" s="234" t="s">
        <v>699</v>
      </c>
      <c r="K1097" s="234">
        <v>1</v>
      </c>
      <c r="L1097" s="208" t="s">
        <v>39</v>
      </c>
      <c r="M1097" s="227">
        <f>LEFT(J1097,SEARCH(" ",J1097,1)-1)*3.142/1000</f>
        <v>1.2787939999999998</v>
      </c>
      <c r="N1097" s="208" t="s">
        <v>249</v>
      </c>
      <c r="O1097" s="246">
        <f>VLOOKUP(I1097,BM!$A$2:$X$104,17,FALSE)</f>
        <v>4.9000000000000004</v>
      </c>
      <c r="P1097" s="208" t="s">
        <v>112</v>
      </c>
      <c r="Q1097" s="240">
        <f t="shared" si="422"/>
        <v>6.2660905999999992</v>
      </c>
      <c r="R1097" s="239">
        <v>1</v>
      </c>
      <c r="S1097" s="240">
        <f t="shared" si="399"/>
        <v>7.27</v>
      </c>
      <c r="T1097" s="216" t="s">
        <v>48</v>
      </c>
      <c r="U1097" s="196" t="str">
        <f t="shared" si="398"/>
        <v>7.27 Hrs</v>
      </c>
    </row>
    <row r="1098" spans="3:21" s="185" customFormat="1" ht="20.25" customHeight="1">
      <c r="C1098" s="198"/>
      <c r="D1098" s="203">
        <f t="shared" si="423"/>
        <v>1098</v>
      </c>
      <c r="E1098" s="207" t="s">
        <v>700</v>
      </c>
      <c r="F1098" s="211"/>
      <c r="G1098" s="206" t="s">
        <v>299</v>
      </c>
      <c r="H1098" s="206"/>
      <c r="I1098" s="208"/>
      <c r="J1098" s="208"/>
      <c r="K1098" s="234">
        <v>1</v>
      </c>
      <c r="L1098" s="208" t="s">
        <v>39</v>
      </c>
      <c r="M1098" s="217">
        <v>1</v>
      </c>
      <c r="N1098" s="208" t="s">
        <v>39</v>
      </c>
      <c r="O1098" s="218">
        <v>12</v>
      </c>
      <c r="P1098" s="208" t="s">
        <v>112</v>
      </c>
      <c r="Q1098" s="240">
        <f t="shared" si="422"/>
        <v>12</v>
      </c>
      <c r="R1098" s="239">
        <v>1</v>
      </c>
      <c r="S1098" s="240">
        <f t="shared" si="399"/>
        <v>13</v>
      </c>
      <c r="T1098" s="216" t="s">
        <v>48</v>
      </c>
      <c r="U1098" s="196" t="str">
        <f t="shared" si="398"/>
        <v>13 Hrs</v>
      </c>
    </row>
    <row r="1099" spans="3:21" s="185" customFormat="1" ht="20.25" customHeight="1">
      <c r="C1099" s="198"/>
      <c r="D1099" s="203">
        <f t="shared" si="423"/>
        <v>1099</v>
      </c>
      <c r="E1099" s="207" t="s">
        <v>701</v>
      </c>
      <c r="F1099" s="211"/>
      <c r="G1099" s="206" t="s">
        <v>121</v>
      </c>
      <c r="H1099" s="206"/>
      <c r="I1099" s="224">
        <v>18</v>
      </c>
      <c r="J1099" s="234" t="s">
        <v>697</v>
      </c>
      <c r="K1099" s="234">
        <v>1</v>
      </c>
      <c r="L1099" s="208" t="s">
        <v>39</v>
      </c>
      <c r="M1099" s="227">
        <f>LEFT(J1099,SEARCH(" ",J1099,1)-1)*3.142/1000</f>
        <v>3.0540240000000001</v>
      </c>
      <c r="N1099" s="208" t="s">
        <v>249</v>
      </c>
      <c r="O1099" s="246">
        <f>VLOOKUP(I1099,BM!$A$2:$X$104,20,FALSE)</f>
        <v>0.5</v>
      </c>
      <c r="P1099" s="208" t="s">
        <v>112</v>
      </c>
      <c r="Q1099" s="240">
        <f t="shared" si="422"/>
        <v>1.527012</v>
      </c>
      <c r="R1099" s="239">
        <v>1</v>
      </c>
      <c r="S1099" s="240">
        <f t="shared" si="399"/>
        <v>2.5299999999999998</v>
      </c>
      <c r="T1099" s="216" t="s">
        <v>48</v>
      </c>
      <c r="U1099" s="196" t="str">
        <f t="shared" si="398"/>
        <v>2.53 Hrs</v>
      </c>
    </row>
    <row r="1100" spans="3:21" s="185" customFormat="1" ht="20.25" customHeight="1">
      <c r="C1100" s="198"/>
      <c r="D1100" s="203">
        <f t="shared" si="423"/>
        <v>1100</v>
      </c>
      <c r="E1100" s="207" t="s">
        <v>702</v>
      </c>
      <c r="F1100" s="211"/>
      <c r="G1100" s="206" t="s">
        <v>121</v>
      </c>
      <c r="H1100" s="206"/>
      <c r="I1100" s="224">
        <v>18</v>
      </c>
      <c r="J1100" s="234" t="s">
        <v>699</v>
      </c>
      <c r="K1100" s="234">
        <v>1</v>
      </c>
      <c r="L1100" s="208" t="s">
        <v>39</v>
      </c>
      <c r="M1100" s="227">
        <f>LEFT(J1100,SEARCH(" ",J1100,1)-1)*3.142/1000</f>
        <v>1.2787939999999998</v>
      </c>
      <c r="N1100" s="208" t="s">
        <v>249</v>
      </c>
      <c r="O1100" s="246">
        <f>VLOOKUP(I1100,BM!$A$2:$X$104,20,FALSE)</f>
        <v>0.5</v>
      </c>
      <c r="P1100" s="208" t="s">
        <v>112</v>
      </c>
      <c r="Q1100" s="240">
        <f t="shared" si="422"/>
        <v>0.63939699999999988</v>
      </c>
      <c r="R1100" s="239">
        <v>1</v>
      </c>
      <c r="S1100" s="240">
        <f t="shared" si="399"/>
        <v>1.64</v>
      </c>
      <c r="T1100" s="216" t="s">
        <v>48</v>
      </c>
      <c r="U1100" s="196" t="str">
        <f t="shared" si="398"/>
        <v>1.64 Hrs</v>
      </c>
    </row>
    <row r="1101" spans="3:21" s="185" customFormat="1" ht="20.25" customHeight="1">
      <c r="C1101" s="198"/>
      <c r="D1101" s="203">
        <f t="shared" si="423"/>
        <v>1101</v>
      </c>
      <c r="E1101" s="207" t="s">
        <v>703</v>
      </c>
      <c r="F1101" s="211"/>
      <c r="G1101" s="206" t="s">
        <v>312</v>
      </c>
      <c r="H1101" s="206"/>
      <c r="I1101" s="233">
        <f>I1099</f>
        <v>18</v>
      </c>
      <c r="J1101" s="225" t="str">
        <f t="shared" ref="J1101:M1101" si="424">J1099</f>
        <v>972 mm dia</v>
      </c>
      <c r="K1101" s="225">
        <f t="shared" si="424"/>
        <v>1</v>
      </c>
      <c r="L1101" s="211" t="str">
        <f t="shared" si="424"/>
        <v>No</v>
      </c>
      <c r="M1101" s="235">
        <f t="shared" si="424"/>
        <v>3.0540240000000001</v>
      </c>
      <c r="N1101" s="208" t="s">
        <v>39</v>
      </c>
      <c r="O1101" s="218">
        <v>1</v>
      </c>
      <c r="P1101" s="208" t="s">
        <v>41</v>
      </c>
      <c r="Q1101" s="240">
        <f t="shared" si="422"/>
        <v>3.0540240000000001</v>
      </c>
      <c r="R1101" s="239"/>
      <c r="S1101" s="240">
        <f t="shared" si="399"/>
        <v>3.05</v>
      </c>
      <c r="T1101" s="216" t="s">
        <v>48</v>
      </c>
      <c r="U1101" s="196" t="str">
        <f t="shared" si="398"/>
        <v>3.05 Hrs</v>
      </c>
    </row>
    <row r="1102" spans="3:21" s="185" customFormat="1" ht="20.25" customHeight="1">
      <c r="C1102" s="198">
        <f>D1102</f>
        <v>1092</v>
      </c>
      <c r="D1102" s="203">
        <f>D1091+1</f>
        <v>1092</v>
      </c>
      <c r="E1102" s="204" t="s">
        <v>471</v>
      </c>
      <c r="F1102" s="210">
        <f>C1092</f>
        <v>1092</v>
      </c>
      <c r="G1102" s="206"/>
      <c r="H1102" s="206"/>
      <c r="I1102" s="208"/>
      <c r="J1102" s="208"/>
      <c r="K1102" s="234"/>
      <c r="L1102" s="208"/>
      <c r="M1102" s="217"/>
      <c r="N1102" s="208"/>
      <c r="O1102" s="218"/>
      <c r="P1102" s="208"/>
      <c r="Q1102" s="240"/>
      <c r="R1102" s="239"/>
      <c r="S1102" s="240"/>
      <c r="T1102" s="216"/>
      <c r="U1102" s="196"/>
    </row>
    <row r="1103" spans="3:21" s="185" customFormat="1" ht="20.25" customHeight="1">
      <c r="C1103" s="198"/>
      <c r="D1103" s="203">
        <f t="shared" si="420"/>
        <v>1093</v>
      </c>
      <c r="E1103" s="207" t="s">
        <v>472</v>
      </c>
      <c r="F1103" s="211"/>
      <c r="G1103" s="206" t="s">
        <v>44</v>
      </c>
      <c r="H1103" s="206"/>
      <c r="I1103" s="208"/>
      <c r="J1103" s="208" t="s">
        <v>463</v>
      </c>
      <c r="K1103" s="234">
        <v>1</v>
      </c>
      <c r="L1103" s="208" t="s">
        <v>39</v>
      </c>
      <c r="M1103" s="217">
        <v>1</v>
      </c>
      <c r="N1103" s="208" t="s">
        <v>39</v>
      </c>
      <c r="O1103" s="218">
        <v>1</v>
      </c>
      <c r="P1103" s="208" t="s">
        <v>112</v>
      </c>
      <c r="Q1103" s="240">
        <f t="shared" ref="Q1103:Q1104" si="425">M1103*O1103</f>
        <v>1</v>
      </c>
      <c r="R1103" s="239">
        <v>1</v>
      </c>
      <c r="S1103" s="240">
        <f t="shared" si="399"/>
        <v>2</v>
      </c>
      <c r="T1103" s="216" t="s">
        <v>48</v>
      </c>
      <c r="U1103" s="196" t="str">
        <f t="shared" si="398"/>
        <v>2 Hrs</v>
      </c>
    </row>
    <row r="1104" spans="3:21" s="185" customFormat="1" ht="20.25" customHeight="1">
      <c r="C1104" s="198"/>
      <c r="D1104" s="203">
        <f t="shared" si="420"/>
        <v>1094</v>
      </c>
      <c r="E1104" s="207" t="s">
        <v>473</v>
      </c>
      <c r="F1104" s="211">
        <f t="shared" ref="F1104" si="426">D1103</f>
        <v>1093</v>
      </c>
      <c r="G1104" s="206" t="s">
        <v>44</v>
      </c>
      <c r="H1104" s="206"/>
      <c r="I1104" s="208"/>
      <c r="J1104" s="208" t="s">
        <v>463</v>
      </c>
      <c r="K1104" s="234">
        <v>1</v>
      </c>
      <c r="L1104" s="208" t="s">
        <v>39</v>
      </c>
      <c r="M1104" s="217">
        <v>1</v>
      </c>
      <c r="N1104" s="208" t="s">
        <v>39</v>
      </c>
      <c r="O1104" s="218">
        <v>1</v>
      </c>
      <c r="P1104" s="208" t="s">
        <v>112</v>
      </c>
      <c r="Q1104" s="240">
        <f t="shared" si="425"/>
        <v>1</v>
      </c>
      <c r="R1104" s="239">
        <v>1</v>
      </c>
      <c r="S1104" s="240">
        <f t="shared" si="399"/>
        <v>2</v>
      </c>
      <c r="T1104" s="216" t="s">
        <v>48</v>
      </c>
      <c r="U1104" s="196" t="str">
        <f t="shared" si="398"/>
        <v>2 Hrs</v>
      </c>
    </row>
    <row r="1105" spans="3:21" s="185" customFormat="1" ht="20.25" customHeight="1">
      <c r="C1105" s="198">
        <f>D1105</f>
        <v>1095</v>
      </c>
      <c r="D1105" s="203">
        <f t="shared" si="420"/>
        <v>1095</v>
      </c>
      <c r="E1105" s="204" t="s">
        <v>474</v>
      </c>
      <c r="F1105" s="210">
        <f>C1102</f>
        <v>1092</v>
      </c>
      <c r="G1105" s="206"/>
      <c r="H1105" s="206"/>
      <c r="I1105" s="208"/>
      <c r="J1105" s="208"/>
      <c r="K1105" s="234"/>
      <c r="L1105" s="208"/>
      <c r="M1105" s="217"/>
      <c r="N1105" s="208"/>
      <c r="O1105" s="218"/>
      <c r="P1105" s="208"/>
      <c r="Q1105" s="240"/>
      <c r="R1105" s="239"/>
      <c r="S1105" s="240"/>
      <c r="T1105" s="216"/>
      <c r="U1105" s="196"/>
    </row>
    <row r="1106" spans="3:21" s="185" customFormat="1" ht="20.25" customHeight="1">
      <c r="C1106" s="198"/>
      <c r="D1106" s="203">
        <f t="shared" si="420"/>
        <v>1096</v>
      </c>
      <c r="E1106" s="207" t="s">
        <v>475</v>
      </c>
      <c r="F1106" s="211"/>
      <c r="G1106" s="206" t="s">
        <v>201</v>
      </c>
      <c r="H1106" s="206"/>
      <c r="I1106" s="208"/>
      <c r="J1106" s="208" t="s">
        <v>463</v>
      </c>
      <c r="K1106" s="234">
        <v>2</v>
      </c>
      <c r="L1106" s="208" t="s">
        <v>81</v>
      </c>
      <c r="M1106" s="217">
        <v>1</v>
      </c>
      <c r="N1106" s="208" t="s">
        <v>39</v>
      </c>
      <c r="O1106" s="218">
        <v>0.5</v>
      </c>
      <c r="P1106" s="208" t="s">
        <v>112</v>
      </c>
      <c r="Q1106" s="240">
        <f t="shared" ref="Q1106:Q1114" si="427">M1106*O1106</f>
        <v>0.5</v>
      </c>
      <c r="R1106" s="239">
        <v>1</v>
      </c>
      <c r="S1106" s="240">
        <f t="shared" si="399"/>
        <v>1.5</v>
      </c>
      <c r="T1106" s="216" t="s">
        <v>48</v>
      </c>
      <c r="U1106" s="196" t="str">
        <f t="shared" si="398"/>
        <v>1.5 Hrs</v>
      </c>
    </row>
    <row r="1107" spans="3:21" s="185" customFormat="1" ht="20.25" customHeight="1">
      <c r="C1107" s="198"/>
      <c r="D1107" s="203">
        <f t="shared" si="420"/>
        <v>1097</v>
      </c>
      <c r="E1107" s="207" t="s">
        <v>476</v>
      </c>
      <c r="F1107" s="211">
        <f t="shared" ref="F1107:F1114" si="428">D1106</f>
        <v>1096</v>
      </c>
      <c r="G1107" s="206" t="s">
        <v>115</v>
      </c>
      <c r="H1107" s="206"/>
      <c r="I1107" s="224">
        <v>14</v>
      </c>
      <c r="J1107" s="234" t="s">
        <v>477</v>
      </c>
      <c r="K1107" s="234">
        <v>1</v>
      </c>
      <c r="L1107" s="208" t="s">
        <v>39</v>
      </c>
      <c r="M1107" s="235">
        <f>16*25.4*3.142*K1107/1000</f>
        <v>1.2769088</v>
      </c>
      <c r="N1107" s="208" t="s">
        <v>249</v>
      </c>
      <c r="O1107" s="246">
        <f>VLOOKUP(I1107,BM!$A$2:$X$104,17,FALSE)</f>
        <v>3.22</v>
      </c>
      <c r="P1107" s="208" t="s">
        <v>112</v>
      </c>
      <c r="Q1107" s="240">
        <f t="shared" si="427"/>
        <v>4.1116463359999997</v>
      </c>
      <c r="R1107" s="239">
        <v>1</v>
      </c>
      <c r="S1107" s="240">
        <f t="shared" si="399"/>
        <v>5.1100000000000003</v>
      </c>
      <c r="T1107" s="216" t="s">
        <v>48</v>
      </c>
      <c r="U1107" s="196" t="str">
        <f t="shared" si="398"/>
        <v>5.11 Hrs</v>
      </c>
    </row>
    <row r="1108" spans="3:21" s="185" customFormat="1" ht="20.25" customHeight="1">
      <c r="C1108" s="198"/>
      <c r="D1108" s="203">
        <f t="shared" si="420"/>
        <v>1098</v>
      </c>
      <c r="E1108" s="207" t="s">
        <v>478</v>
      </c>
      <c r="F1108" s="211">
        <f t="shared" si="428"/>
        <v>1097</v>
      </c>
      <c r="G1108" s="206" t="s">
        <v>115</v>
      </c>
      <c r="H1108" s="206"/>
      <c r="I1108" s="224">
        <v>14</v>
      </c>
      <c r="J1108" s="234" t="s">
        <v>477</v>
      </c>
      <c r="K1108" s="234">
        <v>1</v>
      </c>
      <c r="L1108" s="208" t="s">
        <v>39</v>
      </c>
      <c r="M1108" s="235">
        <f>16*25.4*3.142*K1108/1000</f>
        <v>1.2769088</v>
      </c>
      <c r="N1108" s="208" t="s">
        <v>249</v>
      </c>
      <c r="O1108" s="246">
        <f>VLOOKUP(I1108,BM!$A$2:$X$104,17,FALSE)</f>
        <v>3.22</v>
      </c>
      <c r="P1108" s="208" t="s">
        <v>112</v>
      </c>
      <c r="Q1108" s="240">
        <f t="shared" si="427"/>
        <v>4.1116463359999997</v>
      </c>
      <c r="R1108" s="239">
        <v>1</v>
      </c>
      <c r="S1108" s="240">
        <f t="shared" si="399"/>
        <v>5.1100000000000003</v>
      </c>
      <c r="T1108" s="216" t="s">
        <v>48</v>
      </c>
      <c r="U1108" s="196" t="str">
        <f t="shared" si="398"/>
        <v>5.11 Hrs</v>
      </c>
    </row>
    <row r="1109" spans="3:21" s="185" customFormat="1" ht="20.25" customHeight="1">
      <c r="C1109" s="198"/>
      <c r="D1109" s="203">
        <f t="shared" si="420"/>
        <v>1099</v>
      </c>
      <c r="E1109" s="207" t="s">
        <v>479</v>
      </c>
      <c r="F1109" s="211">
        <f t="shared" si="428"/>
        <v>1098</v>
      </c>
      <c r="G1109" s="206" t="s">
        <v>115</v>
      </c>
      <c r="H1109" s="206"/>
      <c r="I1109" s="224">
        <v>14</v>
      </c>
      <c r="J1109" s="234" t="s">
        <v>477</v>
      </c>
      <c r="K1109" s="234">
        <v>2</v>
      </c>
      <c r="L1109" s="208" t="s">
        <v>39</v>
      </c>
      <c r="M1109" s="217">
        <v>2</v>
      </c>
      <c r="N1109" s="208" t="s">
        <v>81</v>
      </c>
      <c r="O1109" s="218">
        <v>1</v>
      </c>
      <c r="P1109" s="208" t="s">
        <v>112</v>
      </c>
      <c r="Q1109" s="240">
        <f t="shared" si="427"/>
        <v>2</v>
      </c>
      <c r="R1109" s="239">
        <v>1</v>
      </c>
      <c r="S1109" s="240">
        <f t="shared" si="399"/>
        <v>3</v>
      </c>
      <c r="T1109" s="216" t="s">
        <v>48</v>
      </c>
      <c r="U1109" s="196" t="str">
        <f t="shared" si="398"/>
        <v>3 Hrs</v>
      </c>
    </row>
    <row r="1110" spans="3:21" s="185" customFormat="1" ht="20.25" customHeight="1">
      <c r="C1110" s="198"/>
      <c r="D1110" s="203">
        <f t="shared" si="420"/>
        <v>1100</v>
      </c>
      <c r="E1110" s="207" t="s">
        <v>480</v>
      </c>
      <c r="F1110" s="211">
        <f t="shared" si="428"/>
        <v>1099</v>
      </c>
      <c r="G1110" s="206" t="s">
        <v>115</v>
      </c>
      <c r="H1110" s="206"/>
      <c r="I1110" s="224">
        <v>6</v>
      </c>
      <c r="J1110" s="234" t="s">
        <v>477</v>
      </c>
      <c r="K1110" s="234">
        <v>1</v>
      </c>
      <c r="L1110" s="208" t="s">
        <v>39</v>
      </c>
      <c r="M1110" s="235">
        <f>16*25.4*3.142*K1110/1000</f>
        <v>1.2769088</v>
      </c>
      <c r="N1110" s="208" t="s">
        <v>249</v>
      </c>
      <c r="O1110" s="246">
        <f>VLOOKUP(I1110,BM!$A$2:$X$104,17,FALSE)</f>
        <v>0.9</v>
      </c>
      <c r="P1110" s="208" t="s">
        <v>112</v>
      </c>
      <c r="Q1110" s="240">
        <f t="shared" si="427"/>
        <v>1.1492179199999999</v>
      </c>
      <c r="R1110" s="239">
        <v>1</v>
      </c>
      <c r="S1110" s="240">
        <f t="shared" si="399"/>
        <v>2.15</v>
      </c>
      <c r="T1110" s="216" t="s">
        <v>48</v>
      </c>
      <c r="U1110" s="196" t="str">
        <f t="shared" si="398"/>
        <v>2.15 Hrs</v>
      </c>
    </row>
    <row r="1111" spans="3:21" s="185" customFormat="1" ht="20.25" customHeight="1">
      <c r="C1111" s="198"/>
      <c r="D1111" s="203">
        <f t="shared" si="420"/>
        <v>1101</v>
      </c>
      <c r="E1111" s="207" t="s">
        <v>481</v>
      </c>
      <c r="F1111" s="211">
        <f t="shared" si="428"/>
        <v>1100</v>
      </c>
      <c r="G1111" s="206" t="s">
        <v>115</v>
      </c>
      <c r="H1111" s="206"/>
      <c r="I1111" s="224">
        <v>6</v>
      </c>
      <c r="J1111" s="234" t="s">
        <v>477</v>
      </c>
      <c r="K1111" s="234">
        <v>1</v>
      </c>
      <c r="L1111" s="208" t="s">
        <v>39</v>
      </c>
      <c r="M1111" s="235">
        <f>16*25.4*3.142*K1111/1000</f>
        <v>1.2769088</v>
      </c>
      <c r="N1111" s="208" t="s">
        <v>249</v>
      </c>
      <c r="O1111" s="246">
        <f>VLOOKUP(I1111,BM!$A$2:$X$104,17,FALSE)</f>
        <v>0.9</v>
      </c>
      <c r="P1111" s="208" t="s">
        <v>112</v>
      </c>
      <c r="Q1111" s="240">
        <f t="shared" si="427"/>
        <v>1.1492179199999999</v>
      </c>
      <c r="R1111" s="239">
        <v>1</v>
      </c>
      <c r="S1111" s="240">
        <f t="shared" si="399"/>
        <v>2.15</v>
      </c>
      <c r="T1111" s="216" t="s">
        <v>48</v>
      </c>
      <c r="U1111" s="196" t="str">
        <f t="shared" si="398"/>
        <v>2.15 Hrs</v>
      </c>
    </row>
    <row r="1112" spans="3:21" s="185" customFormat="1" ht="20.25" customHeight="1">
      <c r="C1112" s="198"/>
      <c r="D1112" s="203">
        <f t="shared" si="420"/>
        <v>1102</v>
      </c>
      <c r="E1112" s="207" t="s">
        <v>482</v>
      </c>
      <c r="F1112" s="211">
        <f t="shared" si="428"/>
        <v>1101</v>
      </c>
      <c r="G1112" s="206" t="s">
        <v>115</v>
      </c>
      <c r="H1112" s="206"/>
      <c r="I1112" s="208"/>
      <c r="J1112" s="234" t="s">
        <v>463</v>
      </c>
      <c r="K1112" s="234">
        <v>2</v>
      </c>
      <c r="L1112" s="208" t="s">
        <v>39</v>
      </c>
      <c r="M1112" s="217">
        <v>2</v>
      </c>
      <c r="N1112" s="208" t="s">
        <v>84</v>
      </c>
      <c r="O1112" s="246">
        <f>VLOOKUP(J1112,BM!$A$2:$X$104,11,FALSE)</f>
        <v>4</v>
      </c>
      <c r="P1112" s="208" t="s">
        <v>112</v>
      </c>
      <c r="Q1112" s="240">
        <f t="shared" si="427"/>
        <v>8</v>
      </c>
      <c r="R1112" s="239">
        <v>1</v>
      </c>
      <c r="S1112" s="240">
        <f t="shared" si="399"/>
        <v>9</v>
      </c>
      <c r="T1112" s="216" t="s">
        <v>48</v>
      </c>
      <c r="U1112" s="196" t="str">
        <f t="shared" si="398"/>
        <v>9 Hrs</v>
      </c>
    </row>
    <row r="1113" spans="3:21" s="185" customFormat="1" ht="20.25" customHeight="1">
      <c r="C1113" s="198"/>
      <c r="D1113" s="203">
        <f t="shared" si="420"/>
        <v>1103</v>
      </c>
      <c r="E1113" s="207" t="s">
        <v>483</v>
      </c>
      <c r="F1113" s="211">
        <f t="shared" si="428"/>
        <v>1102</v>
      </c>
      <c r="G1113" s="206" t="s">
        <v>121</v>
      </c>
      <c r="H1113" s="206"/>
      <c r="I1113" s="224">
        <v>18</v>
      </c>
      <c r="J1113" s="208"/>
      <c r="K1113" s="234">
        <v>2</v>
      </c>
      <c r="L1113" s="208" t="s">
        <v>39</v>
      </c>
      <c r="M1113" s="235">
        <f>16*25.4*3.142*0.001*K1113</f>
        <v>2.5538175999999999</v>
      </c>
      <c r="N1113" s="208" t="s">
        <v>249</v>
      </c>
      <c r="O1113" s="246">
        <f>VLOOKUP(I1113,BM!$A$2:$X$104,23,FALSE)</f>
        <v>6.8</v>
      </c>
      <c r="P1113" s="208" t="s">
        <v>112</v>
      </c>
      <c r="Q1113" s="240">
        <f t="shared" si="427"/>
        <v>17.36595968</v>
      </c>
      <c r="R1113" s="239">
        <v>1</v>
      </c>
      <c r="S1113" s="240">
        <f t="shared" si="399"/>
        <v>18.37</v>
      </c>
      <c r="T1113" s="216" t="s">
        <v>48</v>
      </c>
      <c r="U1113" s="196" t="str">
        <f t="shared" si="398"/>
        <v>18.37 Hrs</v>
      </c>
    </row>
    <row r="1114" spans="3:21" s="185" customFormat="1" ht="20.25" customHeight="1">
      <c r="C1114" s="198"/>
      <c r="D1114" s="203">
        <f t="shared" si="420"/>
        <v>1104</v>
      </c>
      <c r="E1114" s="207" t="s">
        <v>484</v>
      </c>
      <c r="F1114" s="211">
        <f t="shared" si="428"/>
        <v>1103</v>
      </c>
      <c r="G1114" s="206" t="s">
        <v>61</v>
      </c>
      <c r="H1114" s="206"/>
      <c r="I1114" s="208"/>
      <c r="J1114" s="234" t="s">
        <v>477</v>
      </c>
      <c r="K1114" s="234">
        <v>2</v>
      </c>
      <c r="L1114" s="208" t="s">
        <v>485</v>
      </c>
      <c r="M1114" s="235">
        <f>16*25.4*3.142*K1114/1000</f>
        <v>2.5538175999999999</v>
      </c>
      <c r="N1114" s="208" t="s">
        <v>39</v>
      </c>
      <c r="O1114" s="218">
        <v>0.15</v>
      </c>
      <c r="P1114" s="208" t="s">
        <v>112</v>
      </c>
      <c r="Q1114" s="240">
        <f t="shared" si="427"/>
        <v>0.38307263999999996</v>
      </c>
      <c r="R1114" s="239">
        <v>1</v>
      </c>
      <c r="S1114" s="240">
        <f t="shared" si="399"/>
        <v>1.38</v>
      </c>
      <c r="T1114" s="216" t="s">
        <v>48</v>
      </c>
      <c r="U1114" s="196" t="str">
        <f t="shared" si="398"/>
        <v>1.38 Hrs</v>
      </c>
    </row>
    <row r="1115" spans="3:21" s="185" customFormat="1" ht="20.25" customHeight="1">
      <c r="C1115" s="198">
        <f>D1115</f>
        <v>1105</v>
      </c>
      <c r="D1115" s="203">
        <f t="shared" si="420"/>
        <v>1105</v>
      </c>
      <c r="E1115" s="204" t="s">
        <v>486</v>
      </c>
      <c r="F1115" s="210">
        <f>C1105</f>
        <v>1095</v>
      </c>
      <c r="G1115" s="206"/>
      <c r="H1115" s="206"/>
      <c r="I1115" s="208"/>
      <c r="J1115" s="208"/>
      <c r="K1115" s="234"/>
      <c r="L1115" s="208"/>
      <c r="M1115" s="217"/>
      <c r="N1115" s="208"/>
      <c r="O1115" s="218"/>
      <c r="P1115" s="208"/>
      <c r="Q1115" s="240"/>
      <c r="R1115" s="239"/>
      <c r="S1115" s="240"/>
      <c r="T1115" s="216"/>
      <c r="U1115" s="196"/>
    </row>
    <row r="1116" spans="3:21" s="185" customFormat="1" ht="20.25" customHeight="1">
      <c r="C1116" s="198"/>
      <c r="D1116" s="203">
        <f t="shared" si="420"/>
        <v>1106</v>
      </c>
      <c r="E1116" s="207" t="s">
        <v>487</v>
      </c>
      <c r="F1116" s="211"/>
      <c r="G1116" s="206" t="s">
        <v>299</v>
      </c>
      <c r="H1116" s="206"/>
      <c r="I1116" s="224">
        <v>24</v>
      </c>
      <c r="J1116" s="234">
        <v>14465</v>
      </c>
      <c r="K1116" s="234">
        <v>1</v>
      </c>
      <c r="L1116" s="208" t="s">
        <v>39</v>
      </c>
      <c r="M1116" s="217">
        <f>J1116*K1116/1000</f>
        <v>14.465</v>
      </c>
      <c r="N1116" s="208" t="s">
        <v>81</v>
      </c>
      <c r="O1116" s="218">
        <v>0.5</v>
      </c>
      <c r="P1116" s="208" t="s">
        <v>112</v>
      </c>
      <c r="Q1116" s="240">
        <f t="shared" ref="Q1116:Q1117" si="429">M1116*O1116</f>
        <v>7.2324999999999999</v>
      </c>
      <c r="R1116" s="239">
        <v>1</v>
      </c>
      <c r="S1116" s="240">
        <f t="shared" si="399"/>
        <v>8.23</v>
      </c>
      <c r="T1116" s="216" t="s">
        <v>48</v>
      </c>
      <c r="U1116" s="196" t="str">
        <f t="shared" ref="U1116:U1178" si="430">CONCATENATE(S1116," ",T1116)</f>
        <v>8.23 Hrs</v>
      </c>
    </row>
    <row r="1117" spans="3:21" s="185" customFormat="1" ht="20.25" customHeight="1">
      <c r="C1117" s="198"/>
      <c r="D1117" s="203">
        <f t="shared" si="420"/>
        <v>1107</v>
      </c>
      <c r="E1117" s="207" t="s">
        <v>488</v>
      </c>
      <c r="F1117" s="211">
        <f t="shared" ref="F1117" si="431">D1116</f>
        <v>1106</v>
      </c>
      <c r="G1117" s="206" t="s">
        <v>44</v>
      </c>
      <c r="H1117" s="206"/>
      <c r="I1117" s="224">
        <v>24</v>
      </c>
      <c r="J1117" s="234" t="s">
        <v>489</v>
      </c>
      <c r="K1117" s="234">
        <v>3</v>
      </c>
      <c r="L1117" s="208" t="s">
        <v>39</v>
      </c>
      <c r="M1117" s="217">
        <v>4</v>
      </c>
      <c r="N1117" s="208" t="s">
        <v>81</v>
      </c>
      <c r="O1117" s="218">
        <v>0.5</v>
      </c>
      <c r="P1117" s="208" t="s">
        <v>112</v>
      </c>
      <c r="Q1117" s="240">
        <f t="shared" si="429"/>
        <v>2</v>
      </c>
      <c r="R1117" s="239">
        <v>1</v>
      </c>
      <c r="S1117" s="240">
        <f t="shared" ref="S1117:S1180" si="432">ROUND(Q1117+R1117,2)</f>
        <v>3</v>
      </c>
      <c r="T1117" s="216" t="s">
        <v>48</v>
      </c>
      <c r="U1117" s="196" t="str">
        <f t="shared" si="430"/>
        <v>3 Hrs</v>
      </c>
    </row>
    <row r="1118" spans="3:21" s="185" customFormat="1" ht="20.25" customHeight="1">
      <c r="C1118" s="198">
        <f>D1118</f>
        <v>1108</v>
      </c>
      <c r="D1118" s="203">
        <f t="shared" si="420"/>
        <v>1108</v>
      </c>
      <c r="E1118" s="204" t="s">
        <v>490</v>
      </c>
      <c r="F1118" s="210">
        <f>C1115</f>
        <v>1105</v>
      </c>
      <c r="G1118" s="206"/>
      <c r="H1118" s="206"/>
      <c r="I1118" s="208"/>
      <c r="J1118" s="208"/>
      <c r="K1118" s="234"/>
      <c r="L1118" s="208"/>
      <c r="M1118" s="217"/>
      <c r="N1118" s="208"/>
      <c r="O1118" s="218"/>
      <c r="P1118" s="208"/>
      <c r="Q1118" s="240"/>
      <c r="R1118" s="239"/>
      <c r="S1118" s="240"/>
      <c r="T1118" s="216"/>
      <c r="U1118" s="196"/>
    </row>
    <row r="1119" spans="3:21" s="185" customFormat="1" ht="20.25" customHeight="1">
      <c r="C1119" s="198"/>
      <c r="D1119" s="203">
        <f t="shared" si="420"/>
        <v>1109</v>
      </c>
      <c r="E1119" s="207" t="s">
        <v>491</v>
      </c>
      <c r="F1119" s="211"/>
      <c r="G1119" s="206" t="s">
        <v>115</v>
      </c>
      <c r="H1119" s="206"/>
      <c r="I1119" s="224">
        <v>24</v>
      </c>
      <c r="J1119" s="234">
        <v>1480</v>
      </c>
      <c r="K1119" s="234">
        <v>3</v>
      </c>
      <c r="L1119" s="208" t="s">
        <v>39</v>
      </c>
      <c r="M1119" s="235">
        <f>J1119*K1119/1000</f>
        <v>4.4400000000000004</v>
      </c>
      <c r="N1119" s="208"/>
      <c r="O1119" s="246">
        <f>VLOOKUP(I1119,BM!$A$2:$X$104,23,FALSE)</f>
        <v>11.2</v>
      </c>
      <c r="P1119" s="208" t="s">
        <v>112</v>
      </c>
      <c r="Q1119" s="240">
        <f t="shared" ref="Q1119:Q1120" si="433">M1119*O1119</f>
        <v>49.728000000000002</v>
      </c>
      <c r="R1119" s="239">
        <v>1</v>
      </c>
      <c r="S1119" s="240">
        <f t="shared" si="432"/>
        <v>50.73</v>
      </c>
      <c r="T1119" s="216" t="s">
        <v>48</v>
      </c>
      <c r="U1119" s="196" t="str">
        <f t="shared" si="430"/>
        <v>50.73 Hrs</v>
      </c>
    </row>
    <row r="1120" spans="3:21" s="185" customFormat="1" ht="20.25" customHeight="1">
      <c r="C1120" s="198"/>
      <c r="D1120" s="203">
        <f t="shared" si="420"/>
        <v>1110</v>
      </c>
      <c r="E1120" s="207" t="s">
        <v>492</v>
      </c>
      <c r="F1120" s="211">
        <f t="shared" ref="F1120" si="434">D1119</f>
        <v>1109</v>
      </c>
      <c r="G1120" s="206" t="s">
        <v>121</v>
      </c>
      <c r="H1120" s="206"/>
      <c r="I1120" s="224">
        <v>12</v>
      </c>
      <c r="J1120" s="234" t="s">
        <v>493</v>
      </c>
      <c r="K1120" s="234">
        <v>1</v>
      </c>
      <c r="L1120" s="208" t="s">
        <v>39</v>
      </c>
      <c r="M1120" s="227">
        <f>LEFT(J1120,SEARCH(" ",J1120,1)-1)*K1120/1000</f>
        <v>12.31</v>
      </c>
      <c r="N1120" s="208" t="s">
        <v>39</v>
      </c>
      <c r="O1120" s="246">
        <f>VLOOKUP(I1120,BM!$A$2:$X$104,22,FALSE)</f>
        <v>1.6</v>
      </c>
      <c r="P1120" s="208" t="s">
        <v>112</v>
      </c>
      <c r="Q1120" s="240">
        <f t="shared" si="433"/>
        <v>19.696000000000002</v>
      </c>
      <c r="R1120" s="239">
        <v>1</v>
      </c>
      <c r="S1120" s="240">
        <f t="shared" si="432"/>
        <v>20.7</v>
      </c>
      <c r="T1120" s="216" t="s">
        <v>48</v>
      </c>
      <c r="U1120" s="196" t="str">
        <f t="shared" si="430"/>
        <v>20.7 Hrs</v>
      </c>
    </row>
    <row r="1121" spans="3:21" s="185" customFormat="1" ht="20.25" customHeight="1">
      <c r="C1121" s="198">
        <f>D1121</f>
        <v>1111</v>
      </c>
      <c r="D1121" s="203">
        <f t="shared" si="420"/>
        <v>1111</v>
      </c>
      <c r="E1121" s="204" t="s">
        <v>494</v>
      </c>
      <c r="F1121" s="210">
        <f>C1118</f>
        <v>1108</v>
      </c>
      <c r="G1121" s="206"/>
      <c r="H1121" s="206"/>
      <c r="I1121" s="208"/>
      <c r="J1121" s="208"/>
      <c r="K1121" s="234"/>
      <c r="L1121" s="208"/>
      <c r="M1121" s="217"/>
      <c r="N1121" s="208"/>
      <c r="O1121" s="218"/>
      <c r="P1121" s="208"/>
      <c r="Q1121" s="240"/>
      <c r="R1121" s="239"/>
      <c r="S1121" s="240"/>
      <c r="T1121" s="216"/>
      <c r="U1121" s="196"/>
    </row>
    <row r="1122" spans="3:21" s="185" customFormat="1" ht="20.25" customHeight="1">
      <c r="C1122" s="198"/>
      <c r="D1122" s="203">
        <f t="shared" si="420"/>
        <v>1112</v>
      </c>
      <c r="E1122" s="207" t="s">
        <v>495</v>
      </c>
      <c r="F1122" s="211"/>
      <c r="G1122" s="206" t="s">
        <v>44</v>
      </c>
      <c r="H1122" s="206"/>
      <c r="I1122" s="224">
        <v>18</v>
      </c>
      <c r="J1122" s="234" t="s">
        <v>496</v>
      </c>
      <c r="K1122" s="234">
        <v>1</v>
      </c>
      <c r="L1122" s="208" t="s">
        <v>39</v>
      </c>
      <c r="M1122" s="217">
        <v>1</v>
      </c>
      <c r="N1122" s="208" t="s">
        <v>39</v>
      </c>
      <c r="O1122" s="218">
        <v>4</v>
      </c>
      <c r="P1122" s="208" t="s">
        <v>112</v>
      </c>
      <c r="Q1122" s="240">
        <f t="shared" ref="Q1122:Q1124" si="435">M1122*O1122</f>
        <v>4</v>
      </c>
      <c r="R1122" s="239">
        <v>1</v>
      </c>
      <c r="S1122" s="240">
        <f t="shared" si="432"/>
        <v>5</v>
      </c>
      <c r="T1122" s="216" t="s">
        <v>48</v>
      </c>
      <c r="U1122" s="196" t="str">
        <f t="shared" si="430"/>
        <v>5 Hrs</v>
      </c>
    </row>
    <row r="1123" spans="3:21" s="185" customFormat="1" ht="20.25" customHeight="1">
      <c r="C1123" s="198"/>
      <c r="D1123" s="203">
        <f t="shared" si="420"/>
        <v>1113</v>
      </c>
      <c r="E1123" s="207" t="s">
        <v>497</v>
      </c>
      <c r="F1123" s="211">
        <f t="shared" ref="F1123:F1124" si="436">D1122</f>
        <v>1112</v>
      </c>
      <c r="G1123" s="206" t="s">
        <v>498</v>
      </c>
      <c r="H1123" s="206"/>
      <c r="I1123" s="224">
        <v>18</v>
      </c>
      <c r="J1123" s="234" t="s">
        <v>499</v>
      </c>
      <c r="K1123" s="234">
        <v>1</v>
      </c>
      <c r="L1123" s="208" t="s">
        <v>39</v>
      </c>
      <c r="M1123" s="217">
        <v>1</v>
      </c>
      <c r="N1123" s="208" t="s">
        <v>39</v>
      </c>
      <c r="O1123" s="218">
        <v>4</v>
      </c>
      <c r="P1123" s="208" t="s">
        <v>112</v>
      </c>
      <c r="Q1123" s="240">
        <f t="shared" si="435"/>
        <v>4</v>
      </c>
      <c r="R1123" s="239">
        <v>1</v>
      </c>
      <c r="S1123" s="240">
        <f t="shared" si="432"/>
        <v>5</v>
      </c>
      <c r="T1123" s="216" t="s">
        <v>48</v>
      </c>
      <c r="U1123" s="196" t="str">
        <f t="shared" si="430"/>
        <v>5 Hrs</v>
      </c>
    </row>
    <row r="1124" spans="3:21" s="185" customFormat="1" ht="20.25" customHeight="1">
      <c r="C1124" s="198"/>
      <c r="D1124" s="203">
        <f t="shared" si="420"/>
        <v>1114</v>
      </c>
      <c r="E1124" s="207" t="s">
        <v>500</v>
      </c>
      <c r="F1124" s="211">
        <f t="shared" si="436"/>
        <v>1113</v>
      </c>
      <c r="G1124" s="206" t="s">
        <v>115</v>
      </c>
      <c r="H1124" s="206"/>
      <c r="I1124" s="224">
        <v>12</v>
      </c>
      <c r="J1124" s="234">
        <v>6</v>
      </c>
      <c r="K1124" s="234">
        <v>1</v>
      </c>
      <c r="L1124" s="208" t="s">
        <v>39</v>
      </c>
      <c r="M1124" s="235">
        <f>J1124*K1124</f>
        <v>6</v>
      </c>
      <c r="N1124" s="208" t="s">
        <v>139</v>
      </c>
      <c r="O1124" s="246">
        <f>VLOOKUP(I1124,BM!$A$2:$X$104,22,FALSE)</f>
        <v>1.6</v>
      </c>
      <c r="P1124" s="208" t="s">
        <v>112</v>
      </c>
      <c r="Q1124" s="240">
        <f t="shared" si="435"/>
        <v>9.6000000000000014</v>
      </c>
      <c r="R1124" s="239">
        <v>1</v>
      </c>
      <c r="S1124" s="240">
        <f t="shared" si="432"/>
        <v>10.6</v>
      </c>
      <c r="T1124" s="216" t="s">
        <v>48</v>
      </c>
      <c r="U1124" s="196" t="str">
        <f t="shared" si="430"/>
        <v>10.6 Hrs</v>
      </c>
    </row>
    <row r="1125" spans="3:21" s="185" customFormat="1" ht="20.25" customHeight="1">
      <c r="C1125" s="198">
        <f>D1125</f>
        <v>1115</v>
      </c>
      <c r="D1125" s="203">
        <f t="shared" si="420"/>
        <v>1115</v>
      </c>
      <c r="E1125" s="204" t="s">
        <v>501</v>
      </c>
      <c r="F1125" s="210">
        <f>C1121</f>
        <v>1111</v>
      </c>
      <c r="G1125" s="206"/>
      <c r="H1125" s="206"/>
      <c r="I1125" s="208"/>
      <c r="J1125" s="208"/>
      <c r="K1125" s="234"/>
      <c r="L1125" s="208"/>
      <c r="M1125" s="217"/>
      <c r="N1125" s="208"/>
      <c r="O1125" s="218"/>
      <c r="P1125" s="208"/>
      <c r="Q1125" s="240"/>
      <c r="R1125" s="239"/>
      <c r="S1125" s="240"/>
      <c r="T1125" s="216"/>
      <c r="U1125" s="196"/>
    </row>
    <row r="1126" spans="3:21" s="185" customFormat="1" ht="20.25" customHeight="1">
      <c r="C1126" s="198"/>
      <c r="D1126" s="203">
        <f t="shared" si="420"/>
        <v>1116</v>
      </c>
      <c r="E1126" s="207" t="s">
        <v>502</v>
      </c>
      <c r="F1126" s="211"/>
      <c r="G1126" s="206" t="s">
        <v>149</v>
      </c>
      <c r="H1126" s="206"/>
      <c r="I1126" s="224">
        <v>18</v>
      </c>
      <c r="J1126" s="234" t="s">
        <v>503</v>
      </c>
      <c r="K1126" s="234">
        <v>1</v>
      </c>
      <c r="L1126" s="208" t="s">
        <v>39</v>
      </c>
      <c r="M1126" s="217">
        <v>1</v>
      </c>
      <c r="N1126" s="208" t="s">
        <v>39</v>
      </c>
      <c r="O1126" s="218">
        <v>8</v>
      </c>
      <c r="P1126" s="208" t="s">
        <v>112</v>
      </c>
      <c r="Q1126" s="240">
        <f t="shared" ref="Q1126:Q1127" si="437">M1126*O1126</f>
        <v>8</v>
      </c>
      <c r="R1126" s="239">
        <v>1</v>
      </c>
      <c r="S1126" s="240">
        <f t="shared" si="432"/>
        <v>9</v>
      </c>
      <c r="T1126" s="216" t="s">
        <v>48</v>
      </c>
      <c r="U1126" s="196" t="str">
        <f t="shared" si="430"/>
        <v>9 Hrs</v>
      </c>
    </row>
    <row r="1127" spans="3:21" s="185" customFormat="1" ht="20.25" customHeight="1">
      <c r="C1127" s="198"/>
      <c r="D1127" s="203">
        <f t="shared" si="420"/>
        <v>1117</v>
      </c>
      <c r="E1127" s="207" t="s">
        <v>504</v>
      </c>
      <c r="F1127" s="211">
        <f t="shared" ref="F1127" si="438">D1126</f>
        <v>1116</v>
      </c>
      <c r="G1127" s="206" t="s">
        <v>63</v>
      </c>
      <c r="H1127" s="206"/>
      <c r="I1127" s="224">
        <v>18</v>
      </c>
      <c r="J1127" s="234" t="s">
        <v>503</v>
      </c>
      <c r="K1127" s="234">
        <v>1</v>
      </c>
      <c r="L1127" s="208" t="s">
        <v>39</v>
      </c>
      <c r="M1127" s="217">
        <v>1</v>
      </c>
      <c r="N1127" s="208" t="s">
        <v>39</v>
      </c>
      <c r="O1127" s="218">
        <v>1</v>
      </c>
      <c r="P1127" s="208" t="s">
        <v>41</v>
      </c>
      <c r="Q1127" s="240">
        <f t="shared" si="437"/>
        <v>1</v>
      </c>
      <c r="R1127" s="239"/>
      <c r="S1127" s="240">
        <f t="shared" si="432"/>
        <v>1</v>
      </c>
      <c r="T1127" s="216" t="s">
        <v>48</v>
      </c>
      <c r="U1127" s="196" t="str">
        <f t="shared" si="430"/>
        <v>1 Hrs</v>
      </c>
    </row>
    <row r="1128" spans="3:21" s="185" customFormat="1" ht="20.25" customHeight="1">
      <c r="C1128" s="198">
        <f t="shared" ref="C1128:C1129" si="439">D1128</f>
        <v>1118</v>
      </c>
      <c r="D1128" s="203">
        <f t="shared" si="420"/>
        <v>1118</v>
      </c>
      <c r="E1128" s="247" t="s">
        <v>505</v>
      </c>
      <c r="F1128" s="210">
        <f>C1125</f>
        <v>1115</v>
      </c>
      <c r="G1128" s="206"/>
      <c r="H1128" s="206"/>
      <c r="I1128" s="208"/>
      <c r="J1128" s="208"/>
      <c r="K1128" s="234"/>
      <c r="L1128" s="208"/>
      <c r="M1128" s="217"/>
      <c r="N1128" s="208"/>
      <c r="O1128" s="218"/>
      <c r="P1128" s="208"/>
      <c r="Q1128" s="240"/>
      <c r="R1128" s="239"/>
      <c r="S1128" s="240"/>
      <c r="T1128" s="216"/>
      <c r="U1128" s="196"/>
    </row>
    <row r="1129" spans="3:21" s="185" customFormat="1" ht="20.25" customHeight="1">
      <c r="C1129" s="198">
        <f t="shared" si="439"/>
        <v>1119</v>
      </c>
      <c r="D1129" s="203">
        <f t="shared" si="420"/>
        <v>1119</v>
      </c>
      <c r="E1129" s="204" t="s">
        <v>506</v>
      </c>
      <c r="F1129" s="210">
        <v>7</v>
      </c>
      <c r="G1129" s="206"/>
      <c r="H1129" s="206"/>
      <c r="I1129" s="208"/>
      <c r="J1129" s="208"/>
      <c r="K1129" s="234">
        <v>1</v>
      </c>
      <c r="L1129" s="208" t="s">
        <v>39</v>
      </c>
      <c r="M1129" s="217">
        <v>1</v>
      </c>
      <c r="N1129" s="208" t="s">
        <v>39</v>
      </c>
      <c r="O1129" s="218">
        <v>4</v>
      </c>
      <c r="P1129" s="208" t="s">
        <v>41</v>
      </c>
      <c r="Q1129" s="240">
        <f t="shared" ref="Q1129:Q1135" si="440">M1129*O1129</f>
        <v>4</v>
      </c>
      <c r="R1129" s="239"/>
      <c r="S1129" s="240">
        <f t="shared" si="432"/>
        <v>4</v>
      </c>
      <c r="T1129" s="216" t="s">
        <v>48</v>
      </c>
      <c r="U1129" s="196" t="str">
        <f t="shared" si="430"/>
        <v>4 Hrs</v>
      </c>
    </row>
    <row r="1130" spans="3:21" s="185" customFormat="1" ht="20.25" customHeight="1">
      <c r="C1130" s="198"/>
      <c r="D1130" s="203">
        <f t="shared" si="420"/>
        <v>1120</v>
      </c>
      <c r="E1130" s="207" t="s">
        <v>507</v>
      </c>
      <c r="F1130" s="211"/>
      <c r="G1130" s="206" t="s">
        <v>37</v>
      </c>
      <c r="H1130" s="206"/>
      <c r="I1130" s="224">
        <v>18</v>
      </c>
      <c r="J1130" s="234" t="s">
        <v>508</v>
      </c>
      <c r="K1130" s="234">
        <v>1</v>
      </c>
      <c r="L1130" s="208" t="s">
        <v>81</v>
      </c>
      <c r="M1130" s="227">
        <f>LEFT(J1130,SEARCH(" ",J1130,1)-1)*K1130/1000</f>
        <v>0.373</v>
      </c>
      <c r="N1130" s="208" t="s">
        <v>139</v>
      </c>
      <c r="O1130" s="246">
        <f>VLOOKUP(I1130,BM!$A$2:$X$104,2,FALSE)</f>
        <v>0.1</v>
      </c>
      <c r="P1130" s="208" t="s">
        <v>47</v>
      </c>
      <c r="Q1130" s="240">
        <f t="shared" si="440"/>
        <v>3.73E-2</v>
      </c>
      <c r="R1130" s="239">
        <v>1</v>
      </c>
      <c r="S1130" s="240">
        <f t="shared" si="432"/>
        <v>1.04</v>
      </c>
      <c r="T1130" s="216" t="s">
        <v>48</v>
      </c>
      <c r="U1130" s="196" t="str">
        <f t="shared" si="430"/>
        <v>1.04 Hrs</v>
      </c>
    </row>
    <row r="1131" spans="3:21" s="185" customFormat="1" ht="20.25" customHeight="1">
      <c r="C1131" s="198"/>
      <c r="D1131" s="203">
        <f t="shared" si="420"/>
        <v>1121</v>
      </c>
      <c r="E1131" s="207" t="s">
        <v>509</v>
      </c>
      <c r="F1131" s="211">
        <f t="shared" ref="F1131:F1135" si="441">D1130</f>
        <v>1120</v>
      </c>
      <c r="G1131" s="206" t="s">
        <v>201</v>
      </c>
      <c r="H1131" s="206"/>
      <c r="I1131" s="224">
        <v>18</v>
      </c>
      <c r="J1131" s="234" t="s">
        <v>510</v>
      </c>
      <c r="K1131" s="234">
        <v>1</v>
      </c>
      <c r="L1131" s="208" t="s">
        <v>81</v>
      </c>
      <c r="M1131" s="227">
        <f t="shared" ref="M1131:M1135" si="442">LEFT(J1131,SEARCH(" ",J1131,1)-1)*K1131/1000</f>
        <v>11.3</v>
      </c>
      <c r="N1131" s="208" t="s">
        <v>139</v>
      </c>
      <c r="O1131" s="246">
        <f>VLOOKUP(I1131,BM!$A$2:$X$104,3,FALSE)</f>
        <v>0.25</v>
      </c>
      <c r="P1131" s="208" t="s">
        <v>47</v>
      </c>
      <c r="Q1131" s="240">
        <f t="shared" si="440"/>
        <v>2.8250000000000002</v>
      </c>
      <c r="R1131" s="239">
        <v>1</v>
      </c>
      <c r="S1131" s="240">
        <f t="shared" si="432"/>
        <v>3.83</v>
      </c>
      <c r="T1131" s="216" t="s">
        <v>48</v>
      </c>
      <c r="U1131" s="196" t="str">
        <f t="shared" si="430"/>
        <v>3.83 Hrs</v>
      </c>
    </row>
    <row r="1132" spans="3:21" s="185" customFormat="1" ht="20.25" customHeight="1">
      <c r="C1132" s="198"/>
      <c r="D1132" s="203">
        <f t="shared" si="420"/>
        <v>1122</v>
      </c>
      <c r="E1132" s="207" t="s">
        <v>511</v>
      </c>
      <c r="F1132" s="211">
        <f t="shared" si="441"/>
        <v>1121</v>
      </c>
      <c r="G1132" s="206" t="s">
        <v>52</v>
      </c>
      <c r="H1132" s="206"/>
      <c r="I1132" s="224">
        <v>18</v>
      </c>
      <c r="J1132" s="208" t="str">
        <f t="shared" ref="J1132:J1135" si="443">J1131</f>
        <v>11300 mm</v>
      </c>
      <c r="K1132" s="234">
        <v>1</v>
      </c>
      <c r="L1132" s="208" t="s">
        <v>81</v>
      </c>
      <c r="M1132" s="227">
        <f t="shared" si="442"/>
        <v>11.3</v>
      </c>
      <c r="N1132" s="208" t="s">
        <v>139</v>
      </c>
      <c r="O1132" s="246">
        <f>VLOOKUP(I1132,BM!$A$2:$X$104,4,FALSE)</f>
        <v>0.15</v>
      </c>
      <c r="P1132" s="208" t="s">
        <v>47</v>
      </c>
      <c r="Q1132" s="240">
        <f t="shared" si="440"/>
        <v>1.6950000000000001</v>
      </c>
      <c r="R1132" s="239">
        <v>1</v>
      </c>
      <c r="S1132" s="240">
        <f t="shared" si="432"/>
        <v>2.7</v>
      </c>
      <c r="T1132" s="216" t="s">
        <v>48</v>
      </c>
      <c r="U1132" s="196" t="str">
        <f t="shared" si="430"/>
        <v>2.7 Hrs</v>
      </c>
    </row>
    <row r="1133" spans="3:21" s="185" customFormat="1" ht="20.25" customHeight="1">
      <c r="C1133" s="198"/>
      <c r="D1133" s="203">
        <f t="shared" si="420"/>
        <v>1123</v>
      </c>
      <c r="E1133" s="207" t="s">
        <v>512</v>
      </c>
      <c r="F1133" s="211">
        <f t="shared" si="441"/>
        <v>1122</v>
      </c>
      <c r="G1133" s="206" t="s">
        <v>61</v>
      </c>
      <c r="H1133" s="206"/>
      <c r="I1133" s="224">
        <v>18</v>
      </c>
      <c r="J1133" s="208" t="str">
        <f t="shared" si="443"/>
        <v>11300 mm</v>
      </c>
      <c r="K1133" s="234">
        <v>1</v>
      </c>
      <c r="L1133" s="208" t="s">
        <v>81</v>
      </c>
      <c r="M1133" s="227">
        <f t="shared" si="442"/>
        <v>11.3</v>
      </c>
      <c r="N1133" s="208" t="s">
        <v>139</v>
      </c>
      <c r="O1133" s="246">
        <f>VLOOKUP(I1133,BM!$A$2:$X$104,5,FALSE)</f>
        <v>0.5</v>
      </c>
      <c r="P1133" s="208" t="s">
        <v>47</v>
      </c>
      <c r="Q1133" s="240">
        <f t="shared" si="440"/>
        <v>5.65</v>
      </c>
      <c r="R1133" s="239">
        <v>1</v>
      </c>
      <c r="S1133" s="240">
        <f t="shared" si="432"/>
        <v>6.65</v>
      </c>
      <c r="T1133" s="216" t="s">
        <v>48</v>
      </c>
      <c r="U1133" s="196" t="str">
        <f t="shared" si="430"/>
        <v>6.65 Hrs</v>
      </c>
    </row>
    <row r="1134" spans="3:21" s="185" customFormat="1" ht="20.25" customHeight="1">
      <c r="C1134" s="198"/>
      <c r="D1134" s="203">
        <f t="shared" si="420"/>
        <v>1124</v>
      </c>
      <c r="E1134" s="207" t="s">
        <v>513</v>
      </c>
      <c r="F1134" s="211">
        <f t="shared" si="441"/>
        <v>1123</v>
      </c>
      <c r="G1134" s="206" t="s">
        <v>224</v>
      </c>
      <c r="H1134" s="206"/>
      <c r="I1134" s="224">
        <v>18</v>
      </c>
      <c r="J1134" s="208" t="str">
        <f t="shared" si="443"/>
        <v>11300 mm</v>
      </c>
      <c r="K1134" s="234">
        <v>1</v>
      </c>
      <c r="L1134" s="208" t="s">
        <v>81</v>
      </c>
      <c r="M1134" s="227">
        <f t="shared" si="442"/>
        <v>11.3</v>
      </c>
      <c r="N1134" s="208" t="s">
        <v>139</v>
      </c>
      <c r="O1134" s="246">
        <f>VLOOKUP(I1134,BM!$A$2:$X$104,6,FALSE)</f>
        <v>1</v>
      </c>
      <c r="P1134" s="208" t="s">
        <v>47</v>
      </c>
      <c r="Q1134" s="240">
        <f t="shared" si="440"/>
        <v>11.3</v>
      </c>
      <c r="R1134" s="239">
        <v>1</v>
      </c>
      <c r="S1134" s="240">
        <f t="shared" si="432"/>
        <v>12.3</v>
      </c>
      <c r="T1134" s="216" t="s">
        <v>48</v>
      </c>
      <c r="U1134" s="196" t="str">
        <f t="shared" si="430"/>
        <v>12.3 Hrs</v>
      </c>
    </row>
    <row r="1135" spans="3:21" s="185" customFormat="1" ht="20.25" customHeight="1">
      <c r="C1135" s="198"/>
      <c r="D1135" s="203">
        <f t="shared" si="420"/>
        <v>1125</v>
      </c>
      <c r="E1135" s="207" t="s">
        <v>416</v>
      </c>
      <c r="F1135" s="211">
        <f t="shared" si="441"/>
        <v>1124</v>
      </c>
      <c r="G1135" s="206" t="s">
        <v>61</v>
      </c>
      <c r="H1135" s="206"/>
      <c r="I1135" s="224">
        <v>18</v>
      </c>
      <c r="J1135" s="208" t="str">
        <f t="shared" si="443"/>
        <v>11300 mm</v>
      </c>
      <c r="K1135" s="234">
        <v>1</v>
      </c>
      <c r="L1135" s="208" t="s">
        <v>81</v>
      </c>
      <c r="M1135" s="227">
        <f t="shared" si="442"/>
        <v>11.3</v>
      </c>
      <c r="N1135" s="208" t="s">
        <v>139</v>
      </c>
      <c r="O1135" s="246">
        <f>VLOOKUP(I1135,BM!$A$2:$X$104,6,FALSE)</f>
        <v>1</v>
      </c>
      <c r="P1135" s="208" t="s">
        <v>47</v>
      </c>
      <c r="Q1135" s="240">
        <f t="shared" si="440"/>
        <v>11.3</v>
      </c>
      <c r="R1135" s="239">
        <v>1</v>
      </c>
      <c r="S1135" s="240">
        <f t="shared" si="432"/>
        <v>12.3</v>
      </c>
      <c r="T1135" s="216" t="s">
        <v>48</v>
      </c>
      <c r="U1135" s="196" t="str">
        <f t="shared" si="430"/>
        <v>12.3 Hrs</v>
      </c>
    </row>
    <row r="1136" spans="3:21" s="185" customFormat="1" ht="20.25" customHeight="1">
      <c r="C1136" s="198">
        <f>D1136</f>
        <v>1126</v>
      </c>
      <c r="D1136" s="203">
        <f t="shared" si="420"/>
        <v>1126</v>
      </c>
      <c r="E1136" s="204" t="s">
        <v>514</v>
      </c>
      <c r="F1136" s="210">
        <f>C1129</f>
        <v>1119</v>
      </c>
      <c r="G1136" s="206"/>
      <c r="H1136" s="206"/>
      <c r="I1136" s="208"/>
      <c r="J1136" s="208"/>
      <c r="K1136" s="234"/>
      <c r="L1136" s="208"/>
      <c r="M1136" s="217"/>
      <c r="N1136" s="208"/>
      <c r="O1136" s="218"/>
      <c r="P1136" s="208"/>
      <c r="Q1136" s="240"/>
      <c r="R1136" s="239"/>
      <c r="S1136" s="240"/>
      <c r="T1136" s="216"/>
      <c r="U1136" s="196"/>
    </row>
    <row r="1137" spans="3:21" s="185" customFormat="1" ht="20.25" customHeight="1">
      <c r="C1137" s="198"/>
      <c r="D1137" s="203">
        <f t="shared" si="420"/>
        <v>1127</v>
      </c>
      <c r="E1137" s="207" t="s">
        <v>515</v>
      </c>
      <c r="F1137" s="211"/>
      <c r="G1137" s="206" t="s">
        <v>286</v>
      </c>
      <c r="H1137" s="206"/>
      <c r="I1137" s="233">
        <f>I1135</f>
        <v>18</v>
      </c>
      <c r="J1137" s="225" t="s">
        <v>516</v>
      </c>
      <c r="K1137" s="234">
        <v>1</v>
      </c>
      <c r="L1137" s="208" t="s">
        <v>81</v>
      </c>
      <c r="M1137" s="217">
        <v>1</v>
      </c>
      <c r="N1137" s="208" t="s">
        <v>139</v>
      </c>
      <c r="O1137" s="218">
        <v>3</v>
      </c>
      <c r="P1137" s="208" t="s">
        <v>112</v>
      </c>
      <c r="Q1137" s="240">
        <f t="shared" ref="Q1137:Q1140" si="444">M1137*O1137</f>
        <v>3</v>
      </c>
      <c r="R1137" s="239">
        <v>1</v>
      </c>
      <c r="S1137" s="240">
        <f t="shared" si="432"/>
        <v>4</v>
      </c>
      <c r="T1137" s="216" t="s">
        <v>48</v>
      </c>
      <c r="U1137" s="196" t="str">
        <f t="shared" si="430"/>
        <v>4 Hrs</v>
      </c>
    </row>
    <row r="1138" spans="3:21" s="185" customFormat="1" ht="20.25" customHeight="1">
      <c r="C1138" s="198"/>
      <c r="D1138" s="203">
        <f t="shared" si="420"/>
        <v>1128</v>
      </c>
      <c r="E1138" s="207" t="s">
        <v>517</v>
      </c>
      <c r="F1138" s="211">
        <f t="shared" ref="F1138:F1140" si="445">D1137</f>
        <v>1127</v>
      </c>
      <c r="G1138" s="206" t="s">
        <v>420</v>
      </c>
      <c r="H1138" s="206"/>
      <c r="I1138" s="233">
        <f t="shared" ref="I1138:J1138" si="446">I1137</f>
        <v>18</v>
      </c>
      <c r="J1138" s="211" t="str">
        <f t="shared" si="446"/>
        <v>1664 mm id</v>
      </c>
      <c r="K1138" s="234">
        <v>1</v>
      </c>
      <c r="L1138" s="208" t="s">
        <v>81</v>
      </c>
      <c r="M1138" s="227">
        <f>LEFT(J1138,SEARCH(" ",J1138,1)-1)*K1138*2/1000</f>
        <v>3.3279999999999998</v>
      </c>
      <c r="N1138" s="208" t="s">
        <v>39</v>
      </c>
      <c r="O1138" s="246">
        <f>VLOOKUP(I1138,BM!$A$2:$X$104,8,FALSE)</f>
        <v>0.3</v>
      </c>
      <c r="P1138" s="208" t="s">
        <v>112</v>
      </c>
      <c r="Q1138" s="240">
        <f t="shared" si="444"/>
        <v>0.99839999999999995</v>
      </c>
      <c r="R1138" s="239">
        <v>1</v>
      </c>
      <c r="S1138" s="240">
        <f t="shared" si="432"/>
        <v>2</v>
      </c>
      <c r="T1138" s="216" t="s">
        <v>48</v>
      </c>
      <c r="U1138" s="196" t="str">
        <f t="shared" si="430"/>
        <v>2 Hrs</v>
      </c>
    </row>
    <row r="1139" spans="3:21" s="185" customFormat="1" ht="20.25" customHeight="1">
      <c r="C1139" s="198"/>
      <c r="D1139" s="203">
        <f t="shared" si="420"/>
        <v>1129</v>
      </c>
      <c r="E1139" s="207" t="s">
        <v>518</v>
      </c>
      <c r="F1139" s="211">
        <f t="shared" si="445"/>
        <v>1128</v>
      </c>
      <c r="G1139" s="206" t="s">
        <v>348</v>
      </c>
      <c r="H1139" s="206"/>
      <c r="I1139" s="233">
        <f t="shared" ref="I1139:J1139" si="447">I1138</f>
        <v>18</v>
      </c>
      <c r="J1139" s="211" t="str">
        <f t="shared" si="447"/>
        <v>1664 mm id</v>
      </c>
      <c r="K1139" s="234">
        <v>1</v>
      </c>
      <c r="L1139" s="208" t="s">
        <v>81</v>
      </c>
      <c r="M1139" s="227">
        <f>LEFT(J1139,SEARCH(" ",J1139,1)-1)*K1139*2/1000</f>
        <v>3.3279999999999998</v>
      </c>
      <c r="N1139" s="208" t="s">
        <v>139</v>
      </c>
      <c r="O1139" s="246">
        <f>VLOOKUP(I1139,BM!$A$2:$X$104,9,FALSE)</f>
        <v>1</v>
      </c>
      <c r="P1139" s="208" t="s">
        <v>112</v>
      </c>
      <c r="Q1139" s="240">
        <f t="shared" si="444"/>
        <v>3.3279999999999998</v>
      </c>
      <c r="R1139" s="239">
        <v>1</v>
      </c>
      <c r="S1139" s="240">
        <f t="shared" si="432"/>
        <v>4.33</v>
      </c>
      <c r="T1139" s="216" t="s">
        <v>48</v>
      </c>
      <c r="U1139" s="196" t="str">
        <f t="shared" si="430"/>
        <v>4.33 Hrs</v>
      </c>
    </row>
    <row r="1140" spans="3:21" s="185" customFormat="1" ht="20.25" customHeight="1">
      <c r="C1140" s="198"/>
      <c r="D1140" s="203">
        <f t="shared" si="420"/>
        <v>1130</v>
      </c>
      <c r="E1140" s="207" t="s">
        <v>519</v>
      </c>
      <c r="F1140" s="211">
        <f t="shared" si="445"/>
        <v>1129</v>
      </c>
      <c r="G1140" s="206" t="s">
        <v>286</v>
      </c>
      <c r="H1140" s="206"/>
      <c r="I1140" s="233">
        <f t="shared" ref="I1140:J1140" si="448">I1139</f>
        <v>18</v>
      </c>
      <c r="J1140" s="211" t="str">
        <f t="shared" si="448"/>
        <v>1664 mm id</v>
      </c>
      <c r="K1140" s="234">
        <v>1</v>
      </c>
      <c r="L1140" s="208" t="s">
        <v>81</v>
      </c>
      <c r="M1140" s="227">
        <v>1</v>
      </c>
      <c r="N1140" s="208" t="s">
        <v>39</v>
      </c>
      <c r="O1140" s="218">
        <v>3</v>
      </c>
      <c r="P1140" s="208" t="s">
        <v>112</v>
      </c>
      <c r="Q1140" s="240">
        <f t="shared" si="444"/>
        <v>3</v>
      </c>
      <c r="R1140" s="239">
        <v>1</v>
      </c>
      <c r="S1140" s="240">
        <f t="shared" si="432"/>
        <v>4</v>
      </c>
      <c r="T1140" s="216" t="s">
        <v>48</v>
      </c>
      <c r="U1140" s="196" t="str">
        <f t="shared" si="430"/>
        <v>4 Hrs</v>
      </c>
    </row>
    <row r="1141" spans="3:21" s="185" customFormat="1" ht="20.25" customHeight="1">
      <c r="C1141" s="198">
        <f>D1141</f>
        <v>1131</v>
      </c>
      <c r="D1141" s="203">
        <f t="shared" si="420"/>
        <v>1131</v>
      </c>
      <c r="E1141" s="204" t="s">
        <v>520</v>
      </c>
      <c r="F1141" s="210">
        <f>C1136</f>
        <v>1126</v>
      </c>
      <c r="G1141" s="206"/>
      <c r="H1141" s="206"/>
      <c r="I1141" s="208"/>
      <c r="J1141" s="208"/>
      <c r="K1141" s="234"/>
      <c r="L1141" s="208"/>
      <c r="M1141" s="217"/>
      <c r="N1141" s="208"/>
      <c r="O1141" s="218"/>
      <c r="P1141" s="208"/>
      <c r="Q1141" s="240"/>
      <c r="R1141" s="239"/>
      <c r="S1141" s="240"/>
      <c r="T1141" s="216"/>
      <c r="U1141" s="196"/>
    </row>
    <row r="1142" spans="3:21" s="185" customFormat="1" ht="20.25" customHeight="1">
      <c r="C1142" s="198"/>
      <c r="D1142" s="203">
        <f t="shared" si="420"/>
        <v>1132</v>
      </c>
      <c r="E1142" s="207" t="s">
        <v>521</v>
      </c>
      <c r="F1142" s="211"/>
      <c r="G1142" s="206" t="s">
        <v>348</v>
      </c>
      <c r="H1142" s="206"/>
      <c r="I1142" s="233">
        <f>I1140</f>
        <v>18</v>
      </c>
      <c r="J1142" s="211" t="str">
        <f>J1140</f>
        <v>1664 mm id</v>
      </c>
      <c r="K1142" s="234">
        <v>1</v>
      </c>
      <c r="L1142" s="208" t="s">
        <v>81</v>
      </c>
      <c r="M1142" s="227">
        <f t="shared" ref="M1142" si="449">LEFT(J1142,SEARCH(" ",J1142,1)-1)*K1142*2/1000</f>
        <v>3.3279999999999998</v>
      </c>
      <c r="N1142" s="208" t="s">
        <v>139</v>
      </c>
      <c r="O1142" s="246">
        <f>VLOOKUP(I1142,BM!$A$2:$X$104,9,FALSE)</f>
        <v>1</v>
      </c>
      <c r="P1142" s="208" t="s">
        <v>112</v>
      </c>
      <c r="Q1142" s="240">
        <f t="shared" ref="Q1142:Q1143" si="450">M1142*O1142</f>
        <v>3.3279999999999998</v>
      </c>
      <c r="R1142" s="239">
        <v>1</v>
      </c>
      <c r="S1142" s="240">
        <f t="shared" si="432"/>
        <v>4.33</v>
      </c>
      <c r="T1142" s="216" t="s">
        <v>48</v>
      </c>
      <c r="U1142" s="196" t="str">
        <f t="shared" si="430"/>
        <v>4.33 Hrs</v>
      </c>
    </row>
    <row r="1143" spans="3:21" s="185" customFormat="1" ht="20.25" customHeight="1">
      <c r="C1143" s="198"/>
      <c r="D1143" s="203">
        <f t="shared" si="420"/>
        <v>1133</v>
      </c>
      <c r="E1143" s="207" t="s">
        <v>522</v>
      </c>
      <c r="F1143" s="211">
        <f t="shared" ref="F1143" si="451">D1142</f>
        <v>1132</v>
      </c>
      <c r="G1143" s="206" t="s">
        <v>111</v>
      </c>
      <c r="H1143" s="206"/>
      <c r="I1143" s="233">
        <f>I1142</f>
        <v>18</v>
      </c>
      <c r="J1143" s="211" t="str">
        <f>J1140</f>
        <v>1664 mm id</v>
      </c>
      <c r="K1143" s="234">
        <v>1</v>
      </c>
      <c r="L1143" s="208" t="s">
        <v>81</v>
      </c>
      <c r="M1143" s="227">
        <f>LEFT(J1143,SEARCH(" ",J1143,1)-1)*K1143/1000</f>
        <v>1.6639999999999999</v>
      </c>
      <c r="N1143" s="208" t="s">
        <v>139</v>
      </c>
      <c r="O1143" s="246">
        <f>VLOOKUP(I1143,BM!$A$2:$X$104,10,FALSE)</f>
        <v>1</v>
      </c>
      <c r="P1143" s="208" t="s">
        <v>112</v>
      </c>
      <c r="Q1143" s="240">
        <f t="shared" si="450"/>
        <v>1.6639999999999999</v>
      </c>
      <c r="R1143" s="239">
        <v>1</v>
      </c>
      <c r="S1143" s="240">
        <f t="shared" si="432"/>
        <v>2.66</v>
      </c>
      <c r="T1143" s="216" t="s">
        <v>48</v>
      </c>
      <c r="U1143" s="196" t="str">
        <f t="shared" si="430"/>
        <v>2.66 Hrs</v>
      </c>
    </row>
    <row r="1144" spans="3:21" s="185" customFormat="1" ht="20.25" customHeight="1">
      <c r="C1144" s="198">
        <f>D1144</f>
        <v>1134</v>
      </c>
      <c r="D1144" s="203">
        <f t="shared" si="420"/>
        <v>1134</v>
      </c>
      <c r="E1144" s="204" t="s">
        <v>523</v>
      </c>
      <c r="F1144" s="210">
        <f>C1141</f>
        <v>1131</v>
      </c>
      <c r="G1144" s="206"/>
      <c r="H1144" s="206"/>
      <c r="I1144" s="208"/>
      <c r="J1144" s="208"/>
      <c r="K1144" s="234"/>
      <c r="L1144" s="208"/>
      <c r="M1144" s="217"/>
      <c r="N1144" s="208"/>
      <c r="O1144" s="218"/>
      <c r="P1144" s="208"/>
      <c r="Q1144" s="240"/>
      <c r="R1144" s="239"/>
      <c r="S1144" s="240"/>
      <c r="T1144" s="216"/>
      <c r="U1144" s="196"/>
    </row>
    <row r="1145" spans="3:21" s="185" customFormat="1" ht="20.25" customHeight="1">
      <c r="C1145" s="198"/>
      <c r="D1145" s="203">
        <f t="shared" si="420"/>
        <v>1135</v>
      </c>
      <c r="E1145" s="207" t="s">
        <v>524</v>
      </c>
      <c r="F1145" s="211"/>
      <c r="G1145" s="206" t="s">
        <v>201</v>
      </c>
      <c r="H1145" s="206"/>
      <c r="I1145" s="233">
        <f>I1143</f>
        <v>18</v>
      </c>
      <c r="J1145" s="211" t="str">
        <f t="shared" ref="J1145" si="452">J1143</f>
        <v>1664 mm id</v>
      </c>
      <c r="K1145" s="234">
        <v>1</v>
      </c>
      <c r="L1145" s="208" t="s">
        <v>81</v>
      </c>
      <c r="M1145" s="217">
        <v>1</v>
      </c>
      <c r="N1145" s="208" t="s">
        <v>39</v>
      </c>
      <c r="O1145" s="218">
        <v>1</v>
      </c>
      <c r="P1145" s="208" t="s">
        <v>112</v>
      </c>
      <c r="Q1145" s="240">
        <f t="shared" ref="Q1145:Q1150" si="453">M1145*O1145</f>
        <v>1</v>
      </c>
      <c r="R1145" s="239">
        <v>1</v>
      </c>
      <c r="S1145" s="240">
        <f t="shared" si="432"/>
        <v>2</v>
      </c>
      <c r="T1145" s="216" t="s">
        <v>48</v>
      </c>
      <c r="U1145" s="196" t="str">
        <f t="shared" si="430"/>
        <v>2 Hrs</v>
      </c>
    </row>
    <row r="1146" spans="3:21" s="185" customFormat="1" ht="20.25" customHeight="1">
      <c r="C1146" s="198"/>
      <c r="D1146" s="203">
        <f t="shared" si="420"/>
        <v>1136</v>
      </c>
      <c r="E1146" s="207" t="s">
        <v>525</v>
      </c>
      <c r="F1146" s="211">
        <f t="shared" ref="F1146:F1150" si="454">D1145</f>
        <v>1135</v>
      </c>
      <c r="G1146" s="206" t="s">
        <v>115</v>
      </c>
      <c r="H1146" s="206"/>
      <c r="I1146" s="224">
        <v>12</v>
      </c>
      <c r="J1146" s="211" t="str">
        <f t="shared" ref="J1146:J1150" si="455">J1145</f>
        <v>1664 mm id</v>
      </c>
      <c r="K1146" s="234">
        <v>1</v>
      </c>
      <c r="L1146" s="208" t="s">
        <v>81</v>
      </c>
      <c r="M1146" s="227">
        <f t="shared" ref="M1146:M1149" si="456">LEFT(J1146,SEARCH(" ",J1146,1)-1)*K1146/1000</f>
        <v>1.6639999999999999</v>
      </c>
      <c r="N1146" s="208" t="s">
        <v>139</v>
      </c>
      <c r="O1146" s="246">
        <f>VLOOKUP(I1146,BM!$A$2:$X$104,12,FALSE)</f>
        <v>2.5</v>
      </c>
      <c r="P1146" s="208" t="s">
        <v>112</v>
      </c>
      <c r="Q1146" s="240">
        <f t="shared" si="453"/>
        <v>4.16</v>
      </c>
      <c r="R1146" s="239">
        <v>1</v>
      </c>
      <c r="S1146" s="240">
        <f t="shared" si="432"/>
        <v>5.16</v>
      </c>
      <c r="T1146" s="216" t="s">
        <v>48</v>
      </c>
      <c r="U1146" s="196" t="str">
        <f t="shared" si="430"/>
        <v>5.16 Hrs</v>
      </c>
    </row>
    <row r="1147" spans="3:21" s="185" customFormat="1" ht="20.25" customHeight="1">
      <c r="C1147" s="198"/>
      <c r="D1147" s="203">
        <f t="shared" si="420"/>
        <v>1137</v>
      </c>
      <c r="E1147" s="207" t="s">
        <v>526</v>
      </c>
      <c r="F1147" s="211">
        <f t="shared" si="454"/>
        <v>1136</v>
      </c>
      <c r="G1147" s="206" t="s">
        <v>121</v>
      </c>
      <c r="H1147" s="206"/>
      <c r="I1147" s="224">
        <v>18</v>
      </c>
      <c r="J1147" s="211" t="str">
        <f t="shared" si="455"/>
        <v>1664 mm id</v>
      </c>
      <c r="K1147" s="234">
        <v>1</v>
      </c>
      <c r="L1147" s="208" t="s">
        <v>81</v>
      </c>
      <c r="M1147" s="227">
        <f t="shared" si="456"/>
        <v>1.6639999999999999</v>
      </c>
      <c r="N1147" s="208" t="s">
        <v>139</v>
      </c>
      <c r="O1147" s="246">
        <f>VLOOKUP(I1147,BM!$A$2:$X$104,18,FALSE)</f>
        <v>1</v>
      </c>
      <c r="P1147" s="208" t="s">
        <v>112</v>
      </c>
      <c r="Q1147" s="240">
        <f t="shared" si="453"/>
        <v>1.6639999999999999</v>
      </c>
      <c r="R1147" s="239">
        <v>1</v>
      </c>
      <c r="S1147" s="240">
        <f t="shared" si="432"/>
        <v>2.66</v>
      </c>
      <c r="T1147" s="216" t="s">
        <v>48</v>
      </c>
      <c r="U1147" s="196" t="str">
        <f t="shared" si="430"/>
        <v>2.66 Hrs</v>
      </c>
    </row>
    <row r="1148" spans="3:21" s="185" customFormat="1" ht="20.25" customHeight="1">
      <c r="C1148" s="198"/>
      <c r="D1148" s="203">
        <f t="shared" si="420"/>
        <v>1138</v>
      </c>
      <c r="E1148" s="207" t="s">
        <v>527</v>
      </c>
      <c r="F1148" s="211">
        <f t="shared" si="454"/>
        <v>1137</v>
      </c>
      <c r="G1148" s="206" t="s">
        <v>115</v>
      </c>
      <c r="H1148" s="206"/>
      <c r="I1148" s="224">
        <v>6</v>
      </c>
      <c r="J1148" s="211" t="str">
        <f t="shared" si="455"/>
        <v>1664 mm id</v>
      </c>
      <c r="K1148" s="234">
        <v>1</v>
      </c>
      <c r="L1148" s="208" t="s">
        <v>81</v>
      </c>
      <c r="M1148" s="227">
        <f t="shared" si="456"/>
        <v>1.6639999999999999</v>
      </c>
      <c r="N1148" s="208" t="s">
        <v>139</v>
      </c>
      <c r="O1148" s="246">
        <f>VLOOKUP(I1148,BM!$A$2:$X$104,12,FALSE)</f>
        <v>0.9</v>
      </c>
      <c r="P1148" s="208" t="s">
        <v>112</v>
      </c>
      <c r="Q1148" s="240">
        <f t="shared" si="453"/>
        <v>1.4976</v>
      </c>
      <c r="R1148" s="239">
        <v>1</v>
      </c>
      <c r="S1148" s="240">
        <f t="shared" si="432"/>
        <v>2.5</v>
      </c>
      <c r="T1148" s="216" t="s">
        <v>48</v>
      </c>
      <c r="U1148" s="196" t="str">
        <f t="shared" si="430"/>
        <v>2.5 Hrs</v>
      </c>
    </row>
    <row r="1149" spans="3:21" s="185" customFormat="1" ht="20.25" customHeight="1">
      <c r="C1149" s="198"/>
      <c r="D1149" s="203">
        <f t="shared" si="420"/>
        <v>1139</v>
      </c>
      <c r="E1149" s="207" t="s">
        <v>528</v>
      </c>
      <c r="F1149" s="211">
        <f t="shared" si="454"/>
        <v>1138</v>
      </c>
      <c r="G1149" s="206" t="s">
        <v>61</v>
      </c>
      <c r="H1149" s="206"/>
      <c r="I1149" s="224">
        <v>6</v>
      </c>
      <c r="J1149" s="211" t="str">
        <f t="shared" si="455"/>
        <v>1664 mm id</v>
      </c>
      <c r="K1149" s="234">
        <v>1</v>
      </c>
      <c r="L1149" s="208" t="s">
        <v>81</v>
      </c>
      <c r="M1149" s="227">
        <f t="shared" si="456"/>
        <v>1.6639999999999999</v>
      </c>
      <c r="N1149" s="208" t="s">
        <v>139</v>
      </c>
      <c r="O1149" s="246">
        <f>VLOOKUP(I1149,BM!$A$2:$X$104,20,FALSE)</f>
        <v>0.5</v>
      </c>
      <c r="P1149" s="208" t="s">
        <v>112</v>
      </c>
      <c r="Q1149" s="240">
        <f t="shared" si="453"/>
        <v>0.83199999999999996</v>
      </c>
      <c r="R1149" s="239">
        <v>1</v>
      </c>
      <c r="S1149" s="240">
        <f t="shared" si="432"/>
        <v>1.83</v>
      </c>
      <c r="T1149" s="216" t="s">
        <v>48</v>
      </c>
      <c r="U1149" s="196" t="str">
        <f t="shared" si="430"/>
        <v>1.83 Hrs</v>
      </c>
    </row>
    <row r="1150" spans="3:21" s="185" customFormat="1" ht="20.25" customHeight="1">
      <c r="C1150" s="198"/>
      <c r="D1150" s="203">
        <f t="shared" si="420"/>
        <v>1140</v>
      </c>
      <c r="E1150" s="207" t="s">
        <v>529</v>
      </c>
      <c r="F1150" s="211">
        <f t="shared" si="454"/>
        <v>1139</v>
      </c>
      <c r="G1150" s="206" t="s">
        <v>286</v>
      </c>
      <c r="H1150" s="206"/>
      <c r="I1150" s="224">
        <v>18</v>
      </c>
      <c r="J1150" s="211" t="str">
        <f t="shared" si="455"/>
        <v>1664 mm id</v>
      </c>
      <c r="K1150" s="234">
        <v>1</v>
      </c>
      <c r="L1150" s="208" t="s">
        <v>81</v>
      </c>
      <c r="M1150" s="217">
        <v>1</v>
      </c>
      <c r="N1150" s="208" t="s">
        <v>139</v>
      </c>
      <c r="O1150" s="218">
        <v>3</v>
      </c>
      <c r="P1150" s="208" t="s">
        <v>112</v>
      </c>
      <c r="Q1150" s="240">
        <f t="shared" si="453"/>
        <v>3</v>
      </c>
      <c r="R1150" s="239">
        <v>1</v>
      </c>
      <c r="S1150" s="240">
        <f t="shared" si="432"/>
        <v>4</v>
      </c>
      <c r="T1150" s="216" t="s">
        <v>48</v>
      </c>
      <c r="U1150" s="196" t="str">
        <f t="shared" si="430"/>
        <v>4 Hrs</v>
      </c>
    </row>
    <row r="1151" spans="3:21" s="185" customFormat="1" ht="20.25" customHeight="1">
      <c r="C1151" s="198">
        <f>D1151</f>
        <v>1141</v>
      </c>
      <c r="D1151" s="203">
        <f t="shared" si="420"/>
        <v>1141</v>
      </c>
      <c r="E1151" s="204" t="s">
        <v>530</v>
      </c>
      <c r="F1151" s="210">
        <f>C1144</f>
        <v>1134</v>
      </c>
      <c r="G1151" s="206"/>
      <c r="H1151" s="206"/>
      <c r="I1151" s="208"/>
      <c r="J1151" s="208"/>
      <c r="K1151" s="234"/>
      <c r="L1151" s="208"/>
      <c r="M1151" s="217"/>
      <c r="N1151" s="208"/>
      <c r="O1151" s="218"/>
      <c r="P1151" s="208"/>
      <c r="Q1151" s="240"/>
      <c r="R1151" s="239"/>
      <c r="S1151" s="240"/>
      <c r="T1151" s="216"/>
      <c r="U1151" s="196"/>
    </row>
    <row r="1152" spans="3:21" s="185" customFormat="1" ht="20.25" customHeight="1">
      <c r="C1152" s="198"/>
      <c r="D1152" s="203">
        <f t="shared" si="420"/>
        <v>1142</v>
      </c>
      <c r="E1152" s="207" t="s">
        <v>531</v>
      </c>
      <c r="F1152" s="211"/>
      <c r="G1152" s="206" t="s">
        <v>312</v>
      </c>
      <c r="H1152" s="206"/>
      <c r="I1152" s="233">
        <f>I1150</f>
        <v>18</v>
      </c>
      <c r="J1152" s="211" t="str">
        <f t="shared" ref="J1152:M1152" si="457">J1150</f>
        <v>1664 mm id</v>
      </c>
      <c r="K1152" s="225">
        <f t="shared" si="457"/>
        <v>1</v>
      </c>
      <c r="L1152" s="211" t="str">
        <f t="shared" si="457"/>
        <v>Nos</v>
      </c>
      <c r="M1152" s="211">
        <f t="shared" si="457"/>
        <v>1</v>
      </c>
      <c r="N1152" s="208" t="s">
        <v>39</v>
      </c>
      <c r="O1152" s="218">
        <v>1</v>
      </c>
      <c r="P1152" s="208" t="s">
        <v>41</v>
      </c>
      <c r="Q1152" s="240">
        <f t="shared" ref="Q1152" si="458">M1152*O1152</f>
        <v>1</v>
      </c>
      <c r="R1152" s="211"/>
      <c r="S1152" s="240">
        <f t="shared" si="432"/>
        <v>1</v>
      </c>
      <c r="T1152" s="216" t="s">
        <v>42</v>
      </c>
      <c r="U1152" s="196" t="str">
        <f t="shared" si="430"/>
        <v>1 Days</v>
      </c>
    </row>
    <row r="1153" spans="3:21" s="185" customFormat="1" ht="20.25" customHeight="1">
      <c r="C1153" s="198">
        <f>D1153</f>
        <v>1143</v>
      </c>
      <c r="D1153" s="203">
        <f t="shared" si="420"/>
        <v>1143</v>
      </c>
      <c r="E1153" s="204" t="s">
        <v>532</v>
      </c>
      <c r="F1153" s="210">
        <f>C1151</f>
        <v>1141</v>
      </c>
      <c r="G1153" s="206"/>
      <c r="H1153" s="206"/>
      <c r="I1153" s="208"/>
      <c r="J1153" s="208"/>
      <c r="K1153" s="234"/>
      <c r="L1153" s="208"/>
      <c r="M1153" s="217"/>
      <c r="N1153" s="208"/>
      <c r="O1153" s="218"/>
      <c r="P1153" s="208"/>
      <c r="Q1153" s="240"/>
      <c r="R1153" s="239"/>
      <c r="S1153" s="240"/>
      <c r="T1153" s="216"/>
      <c r="U1153" s="196"/>
    </row>
    <row r="1154" spans="3:21" s="185" customFormat="1" ht="20.25" customHeight="1">
      <c r="C1154" s="198"/>
      <c r="D1154" s="203">
        <f t="shared" si="420"/>
        <v>1144</v>
      </c>
      <c r="E1154" s="207" t="s">
        <v>533</v>
      </c>
      <c r="F1154" s="211"/>
      <c r="G1154" s="206" t="s">
        <v>348</v>
      </c>
      <c r="H1154" s="206"/>
      <c r="I1154" s="224">
        <v>18</v>
      </c>
      <c r="J1154" s="211" t="str">
        <f>J1152</f>
        <v>1664 mm id</v>
      </c>
      <c r="K1154" s="234">
        <v>1</v>
      </c>
      <c r="L1154" s="208" t="s">
        <v>81</v>
      </c>
      <c r="M1154" s="227">
        <f>LEFT(J1154,SEARCH(" ",J1154,1)-1)*K1154*3.142/1000</f>
        <v>5.2282879999999992</v>
      </c>
      <c r="N1154" s="208" t="s">
        <v>139</v>
      </c>
      <c r="O1154" s="246">
        <f>VLOOKUP(I1154,BM!$A$2:$X$104,15,FALSE)</f>
        <v>1</v>
      </c>
      <c r="P1154" s="208" t="s">
        <v>112</v>
      </c>
      <c r="Q1154" s="240">
        <f t="shared" ref="Q1154:Q1156" si="459">M1154*O1154</f>
        <v>5.2282879999999992</v>
      </c>
      <c r="R1154" s="239">
        <v>1</v>
      </c>
      <c r="S1154" s="240">
        <f t="shared" si="432"/>
        <v>6.23</v>
      </c>
      <c r="T1154" s="216" t="s">
        <v>48</v>
      </c>
      <c r="U1154" s="196" t="str">
        <f t="shared" si="430"/>
        <v>6.23 Hrs</v>
      </c>
    </row>
    <row r="1155" spans="3:21" s="185" customFormat="1" ht="20.25" customHeight="1">
      <c r="C1155" s="198"/>
      <c r="D1155" s="203">
        <f t="shared" si="420"/>
        <v>1145</v>
      </c>
      <c r="E1155" s="207" t="s">
        <v>534</v>
      </c>
      <c r="F1155" s="211">
        <f t="shared" ref="F1155:F1156" si="460">D1154</f>
        <v>1144</v>
      </c>
      <c r="G1155" s="206" t="s">
        <v>111</v>
      </c>
      <c r="H1155" s="206"/>
      <c r="I1155" s="224">
        <v>18</v>
      </c>
      <c r="J1155" s="211" t="str">
        <f>J1154</f>
        <v>1664 mm id</v>
      </c>
      <c r="K1155" s="234">
        <v>1</v>
      </c>
      <c r="L1155" s="208" t="s">
        <v>81</v>
      </c>
      <c r="M1155" s="227">
        <f>LEFT(J1155,SEARCH(" ",J1155,1)-1)*K1155*3.142/1000</f>
        <v>5.2282879999999992</v>
      </c>
      <c r="N1155" s="208" t="s">
        <v>39</v>
      </c>
      <c r="O1155" s="246">
        <f>VLOOKUP(I1155,BM!$A$2:$X$104,16,FALSE)</f>
        <v>1</v>
      </c>
      <c r="P1155" s="208" t="s">
        <v>112</v>
      </c>
      <c r="Q1155" s="240">
        <f t="shared" si="459"/>
        <v>5.2282879999999992</v>
      </c>
      <c r="R1155" s="239">
        <v>1</v>
      </c>
      <c r="S1155" s="240">
        <f t="shared" si="432"/>
        <v>6.23</v>
      </c>
      <c r="T1155" s="216" t="s">
        <v>48</v>
      </c>
      <c r="U1155" s="196" t="str">
        <f t="shared" si="430"/>
        <v>6.23 Hrs</v>
      </c>
    </row>
    <row r="1156" spans="3:21" s="185" customFormat="1" ht="20.25" customHeight="1">
      <c r="C1156" s="198"/>
      <c r="D1156" s="203">
        <f t="shared" si="420"/>
        <v>1146</v>
      </c>
      <c r="E1156" s="207" t="s">
        <v>535</v>
      </c>
      <c r="F1156" s="211">
        <f t="shared" si="460"/>
        <v>1145</v>
      </c>
      <c r="G1156" s="206" t="s">
        <v>44</v>
      </c>
      <c r="H1156" s="206"/>
      <c r="I1156" s="224">
        <v>18</v>
      </c>
      <c r="J1156" s="211" t="str">
        <f>J1155</f>
        <v>1664 mm id</v>
      </c>
      <c r="K1156" s="234">
        <v>1</v>
      </c>
      <c r="L1156" s="208" t="s">
        <v>81</v>
      </c>
      <c r="M1156" s="227">
        <f t="shared" ref="M1156" si="461">LEFT(J1156,SEARCH(" ",J1156,1)-1)*K1156*3.142/1000</f>
        <v>5.2282879999999992</v>
      </c>
      <c r="N1156" s="208" t="s">
        <v>50</v>
      </c>
      <c r="O1156" s="218">
        <v>0.25</v>
      </c>
      <c r="P1156" s="208" t="s">
        <v>112</v>
      </c>
      <c r="Q1156" s="240">
        <f t="shared" si="459"/>
        <v>1.3070719999999998</v>
      </c>
      <c r="R1156" s="239">
        <v>1</v>
      </c>
      <c r="S1156" s="240">
        <f t="shared" si="432"/>
        <v>2.31</v>
      </c>
      <c r="T1156" s="216" t="s">
        <v>48</v>
      </c>
      <c r="U1156" s="196" t="str">
        <f t="shared" si="430"/>
        <v>2.31 Hrs</v>
      </c>
    </row>
    <row r="1157" spans="3:21" s="185" customFormat="1" ht="20.25" customHeight="1">
      <c r="C1157" s="198">
        <f>D1157</f>
        <v>1147</v>
      </c>
      <c r="D1157" s="203">
        <f t="shared" si="420"/>
        <v>1147</v>
      </c>
      <c r="E1157" s="204" t="s">
        <v>536</v>
      </c>
      <c r="F1157" s="210">
        <f>C1153</f>
        <v>1143</v>
      </c>
      <c r="G1157" s="206"/>
      <c r="H1157" s="206"/>
      <c r="I1157" s="208"/>
      <c r="J1157" s="208"/>
      <c r="K1157" s="234"/>
      <c r="L1157" s="208"/>
      <c r="M1157" s="217"/>
      <c r="N1157" s="208"/>
      <c r="O1157" s="218"/>
      <c r="P1157" s="208"/>
      <c r="Q1157" s="240"/>
      <c r="R1157" s="239"/>
      <c r="S1157" s="240"/>
      <c r="T1157" s="216"/>
      <c r="U1157" s="196"/>
    </row>
    <row r="1158" spans="3:21" s="185" customFormat="1" ht="20.25" customHeight="1">
      <c r="C1158" s="198"/>
      <c r="D1158" s="203">
        <f t="shared" si="420"/>
        <v>1148</v>
      </c>
      <c r="E1158" s="207" t="s">
        <v>537</v>
      </c>
      <c r="F1158" s="211"/>
      <c r="G1158" s="206" t="s">
        <v>201</v>
      </c>
      <c r="H1158" s="206"/>
      <c r="I1158" s="224">
        <v>12</v>
      </c>
      <c r="J1158" s="211" t="str">
        <f>J1156</f>
        <v>1664 mm id</v>
      </c>
      <c r="K1158" s="234">
        <v>1</v>
      </c>
      <c r="L1158" s="208" t="s">
        <v>81</v>
      </c>
      <c r="M1158" s="217">
        <v>1</v>
      </c>
      <c r="N1158" s="208" t="s">
        <v>249</v>
      </c>
      <c r="O1158" s="218">
        <v>1</v>
      </c>
      <c r="P1158" s="208" t="s">
        <v>112</v>
      </c>
      <c r="Q1158" s="240">
        <f t="shared" ref="Q1158:Q1167" si="462">M1158*O1158</f>
        <v>1</v>
      </c>
      <c r="R1158" s="239">
        <v>1</v>
      </c>
      <c r="S1158" s="240">
        <f t="shared" si="432"/>
        <v>2</v>
      </c>
      <c r="T1158" s="216" t="s">
        <v>48</v>
      </c>
      <c r="U1158" s="196" t="str">
        <f t="shared" si="430"/>
        <v>2 Hrs</v>
      </c>
    </row>
    <row r="1159" spans="3:21" s="185" customFormat="1" ht="20.25" customHeight="1">
      <c r="C1159" s="198"/>
      <c r="D1159" s="203">
        <f t="shared" si="420"/>
        <v>1149</v>
      </c>
      <c r="E1159" s="207" t="s">
        <v>538</v>
      </c>
      <c r="F1159" s="211">
        <f t="shared" ref="F1159:F1162" si="463">D1158</f>
        <v>1148</v>
      </c>
      <c r="G1159" s="206" t="s">
        <v>115</v>
      </c>
      <c r="H1159" s="206"/>
      <c r="I1159" s="224">
        <v>12</v>
      </c>
      <c r="J1159" s="211" t="str">
        <f>J1158</f>
        <v>1664 mm id</v>
      </c>
      <c r="K1159" s="234">
        <v>1</v>
      </c>
      <c r="L1159" s="208" t="s">
        <v>81</v>
      </c>
      <c r="M1159" s="227">
        <f t="shared" ref="M1159:M1162" si="464">LEFT(J1159,SEARCH(" ",J1159,1)-1)*K1159*3.142/1000</f>
        <v>5.2282879999999992</v>
      </c>
      <c r="N1159" s="208" t="s">
        <v>249</v>
      </c>
      <c r="O1159" s="246">
        <f>VLOOKUP(I1159,BM!$A$2:$X$104,17,FALSE)</f>
        <v>2.5</v>
      </c>
      <c r="P1159" s="208" t="s">
        <v>112</v>
      </c>
      <c r="Q1159" s="240">
        <f t="shared" si="462"/>
        <v>13.070719999999998</v>
      </c>
      <c r="R1159" s="239">
        <v>1</v>
      </c>
      <c r="S1159" s="240">
        <f t="shared" si="432"/>
        <v>14.07</v>
      </c>
      <c r="T1159" s="216" t="s">
        <v>48</v>
      </c>
      <c r="U1159" s="196" t="str">
        <f t="shared" si="430"/>
        <v>14.07 Hrs</v>
      </c>
    </row>
    <row r="1160" spans="3:21" s="185" customFormat="1" ht="20.25" customHeight="1">
      <c r="C1160" s="198"/>
      <c r="D1160" s="203">
        <f t="shared" si="420"/>
        <v>1150</v>
      </c>
      <c r="E1160" s="207" t="s">
        <v>539</v>
      </c>
      <c r="F1160" s="211">
        <f t="shared" si="463"/>
        <v>1149</v>
      </c>
      <c r="G1160" s="206" t="s">
        <v>61</v>
      </c>
      <c r="H1160" s="206"/>
      <c r="I1160" s="224">
        <v>18</v>
      </c>
      <c r="J1160" s="211" t="str">
        <f t="shared" ref="J1160:J1162" si="465">J1158</f>
        <v>1664 mm id</v>
      </c>
      <c r="K1160" s="234">
        <v>1</v>
      </c>
      <c r="L1160" s="208" t="s">
        <v>81</v>
      </c>
      <c r="M1160" s="227">
        <f t="shared" si="464"/>
        <v>5.2282879999999992</v>
      </c>
      <c r="N1160" s="208" t="s">
        <v>249</v>
      </c>
      <c r="O1160" s="246">
        <f>VLOOKUP(I1160,BM!$A$2:$X$104,18,FALSE)</f>
        <v>1</v>
      </c>
      <c r="P1160" s="208" t="s">
        <v>112</v>
      </c>
      <c r="Q1160" s="240">
        <f t="shared" si="462"/>
        <v>5.2282879999999992</v>
      </c>
      <c r="R1160" s="239">
        <v>1</v>
      </c>
      <c r="S1160" s="240">
        <f t="shared" si="432"/>
        <v>6.23</v>
      </c>
      <c r="T1160" s="216" t="s">
        <v>48</v>
      </c>
      <c r="U1160" s="196" t="str">
        <f t="shared" si="430"/>
        <v>6.23 Hrs</v>
      </c>
    </row>
    <row r="1161" spans="3:21" s="185" customFormat="1" ht="20.25" customHeight="1">
      <c r="C1161" s="198"/>
      <c r="D1161" s="203">
        <f t="shared" si="420"/>
        <v>1151</v>
      </c>
      <c r="E1161" s="207" t="s">
        <v>540</v>
      </c>
      <c r="F1161" s="211">
        <f t="shared" si="463"/>
        <v>1150</v>
      </c>
      <c r="G1161" s="206" t="s">
        <v>115</v>
      </c>
      <c r="H1161" s="206"/>
      <c r="I1161" s="224">
        <v>6</v>
      </c>
      <c r="J1161" s="211" t="str">
        <f t="shared" si="465"/>
        <v>1664 mm id</v>
      </c>
      <c r="K1161" s="234">
        <v>1</v>
      </c>
      <c r="L1161" s="208" t="s">
        <v>81</v>
      </c>
      <c r="M1161" s="227">
        <f t="shared" si="464"/>
        <v>5.2282879999999992</v>
      </c>
      <c r="N1161" s="208" t="s">
        <v>249</v>
      </c>
      <c r="O1161" s="246">
        <f>VLOOKUP(I1161,BM!$A$2:$X$104,17,FALSE)</f>
        <v>0.9</v>
      </c>
      <c r="P1161" s="208" t="s">
        <v>112</v>
      </c>
      <c r="Q1161" s="240">
        <f t="shared" si="462"/>
        <v>4.7054591999999991</v>
      </c>
      <c r="R1161" s="239">
        <v>1</v>
      </c>
      <c r="S1161" s="240">
        <f t="shared" si="432"/>
        <v>5.71</v>
      </c>
      <c r="T1161" s="216" t="s">
        <v>48</v>
      </c>
      <c r="U1161" s="196" t="str">
        <f t="shared" si="430"/>
        <v>5.71 Hrs</v>
      </c>
    </row>
    <row r="1162" spans="3:21" s="185" customFormat="1" ht="20.25" customHeight="1">
      <c r="C1162" s="198"/>
      <c r="D1162" s="203">
        <f t="shared" si="420"/>
        <v>1152</v>
      </c>
      <c r="E1162" s="207" t="s">
        <v>541</v>
      </c>
      <c r="F1162" s="211">
        <f t="shared" si="463"/>
        <v>1151</v>
      </c>
      <c r="G1162" s="206" t="s">
        <v>61</v>
      </c>
      <c r="H1162" s="206"/>
      <c r="I1162" s="224">
        <v>18</v>
      </c>
      <c r="J1162" s="211" t="str">
        <f t="shared" si="465"/>
        <v>1664 mm id</v>
      </c>
      <c r="K1162" s="234">
        <v>1</v>
      </c>
      <c r="L1162" s="208" t="s">
        <v>81</v>
      </c>
      <c r="M1162" s="227">
        <f t="shared" si="464"/>
        <v>5.2282879999999992</v>
      </c>
      <c r="N1162" s="208" t="s">
        <v>249</v>
      </c>
      <c r="O1162" s="246">
        <f>VLOOKUP(I1162,BM!$A$2:$X$104,20,FALSE)</f>
        <v>0.5</v>
      </c>
      <c r="P1162" s="208" t="s">
        <v>112</v>
      </c>
      <c r="Q1162" s="240">
        <f t="shared" si="462"/>
        <v>2.6141439999999996</v>
      </c>
      <c r="R1162" s="239">
        <v>1</v>
      </c>
      <c r="S1162" s="240">
        <f t="shared" si="432"/>
        <v>3.61</v>
      </c>
      <c r="T1162" s="216" t="s">
        <v>48</v>
      </c>
      <c r="U1162" s="196" t="str">
        <f t="shared" si="430"/>
        <v>3.61 Hrs</v>
      </c>
    </row>
    <row r="1163" spans="3:21" s="185" customFormat="1" ht="20.25" customHeight="1">
      <c r="C1163" s="198">
        <f>D1163</f>
        <v>1153</v>
      </c>
      <c r="D1163" s="203">
        <f t="shared" si="420"/>
        <v>1153</v>
      </c>
      <c r="E1163" s="204" t="s">
        <v>542</v>
      </c>
      <c r="F1163" s="210">
        <f>C1157</f>
        <v>1147</v>
      </c>
      <c r="G1163" s="206"/>
      <c r="H1163" s="206"/>
      <c r="I1163" s="208"/>
      <c r="J1163" s="208"/>
      <c r="K1163" s="234"/>
      <c r="L1163" s="208"/>
      <c r="M1163" s="217"/>
      <c r="N1163" s="208"/>
      <c r="O1163" s="218"/>
      <c r="P1163" s="208"/>
      <c r="Q1163" s="240">
        <f t="shared" si="462"/>
        <v>0</v>
      </c>
      <c r="R1163" s="239"/>
      <c r="S1163" s="240"/>
      <c r="T1163" s="216"/>
      <c r="U1163" s="196"/>
    </row>
    <row r="1164" spans="3:21" s="185" customFormat="1" ht="20.25" customHeight="1">
      <c r="C1164" s="198"/>
      <c r="D1164" s="203">
        <f t="shared" si="420"/>
        <v>1154</v>
      </c>
      <c r="E1164" s="207" t="s">
        <v>543</v>
      </c>
      <c r="F1164" s="211"/>
      <c r="G1164" s="206" t="s">
        <v>52</v>
      </c>
      <c r="H1164" s="206"/>
      <c r="I1164" s="224">
        <v>18</v>
      </c>
      <c r="J1164" s="211" t="str">
        <f>J1162</f>
        <v>1664 mm id</v>
      </c>
      <c r="K1164" s="234">
        <v>1</v>
      </c>
      <c r="L1164" s="208" t="s">
        <v>81</v>
      </c>
      <c r="M1164" s="227">
        <f t="shared" ref="M1164:M1167" si="466">LEFT(J1164,SEARCH(" ",J1164,1)-1)*K1164*3.142/1000</f>
        <v>5.2282879999999992</v>
      </c>
      <c r="N1164" s="208" t="s">
        <v>139</v>
      </c>
      <c r="O1164" s="246">
        <f>VLOOKUP(I1164,BM!$A$2:$X$104,10,FALSE)</f>
        <v>1</v>
      </c>
      <c r="P1164" s="208" t="s">
        <v>112</v>
      </c>
      <c r="Q1164" s="240">
        <f t="shared" si="462"/>
        <v>5.2282879999999992</v>
      </c>
      <c r="R1164" s="239">
        <v>1</v>
      </c>
      <c r="S1164" s="240">
        <f t="shared" si="432"/>
        <v>6.23</v>
      </c>
      <c r="T1164" s="216" t="s">
        <v>48</v>
      </c>
      <c r="U1164" s="196" t="str">
        <f t="shared" si="430"/>
        <v>6.23 Hrs</v>
      </c>
    </row>
    <row r="1165" spans="3:21" s="185" customFormat="1" ht="20.25" customHeight="1">
      <c r="C1165" s="198"/>
      <c r="D1165" s="203">
        <f t="shared" ref="D1165:D1228" si="467">D1164+1</f>
        <v>1155</v>
      </c>
      <c r="E1165" s="207" t="s">
        <v>544</v>
      </c>
      <c r="F1165" s="211">
        <f t="shared" ref="F1165:F1167" si="468">D1164</f>
        <v>1154</v>
      </c>
      <c r="G1165" s="206" t="s">
        <v>44</v>
      </c>
      <c r="H1165" s="206"/>
      <c r="I1165" s="224">
        <v>18</v>
      </c>
      <c r="J1165" s="211" t="str">
        <f t="shared" ref="J1165:J1167" si="469">J1164</f>
        <v>1664 mm id</v>
      </c>
      <c r="K1165" s="234">
        <v>1</v>
      </c>
      <c r="L1165" s="208" t="s">
        <v>81</v>
      </c>
      <c r="M1165" s="227">
        <f t="shared" si="466"/>
        <v>5.2282879999999992</v>
      </c>
      <c r="N1165" s="208" t="s">
        <v>139</v>
      </c>
      <c r="O1165" s="246">
        <f>VLOOKUP(I1165,BM!$A$2:$X$104,16,FALSE)</f>
        <v>1</v>
      </c>
      <c r="P1165" s="208" t="s">
        <v>112</v>
      </c>
      <c r="Q1165" s="240">
        <f t="shared" si="462"/>
        <v>5.2282879999999992</v>
      </c>
      <c r="R1165" s="239">
        <v>1</v>
      </c>
      <c r="S1165" s="240">
        <f t="shared" si="432"/>
        <v>6.23</v>
      </c>
      <c r="T1165" s="216" t="s">
        <v>48</v>
      </c>
      <c r="U1165" s="196" t="str">
        <f t="shared" si="430"/>
        <v>6.23 Hrs</v>
      </c>
    </row>
    <row r="1166" spans="3:21" s="185" customFormat="1" ht="20.25" customHeight="1">
      <c r="C1166" s="198"/>
      <c r="D1166" s="203">
        <f t="shared" si="467"/>
        <v>1156</v>
      </c>
      <c r="E1166" s="207" t="s">
        <v>545</v>
      </c>
      <c r="F1166" s="211">
        <f t="shared" si="468"/>
        <v>1155</v>
      </c>
      <c r="G1166" s="206" t="s">
        <v>111</v>
      </c>
      <c r="H1166" s="206"/>
      <c r="I1166" s="224">
        <v>18</v>
      </c>
      <c r="J1166" s="211" t="str">
        <f t="shared" si="469"/>
        <v>1664 mm id</v>
      </c>
      <c r="K1166" s="234">
        <v>1</v>
      </c>
      <c r="L1166" s="208" t="s">
        <v>81</v>
      </c>
      <c r="M1166" s="227">
        <f t="shared" si="466"/>
        <v>5.2282879999999992</v>
      </c>
      <c r="N1166" s="208" t="s">
        <v>139</v>
      </c>
      <c r="O1166" s="218">
        <v>4</v>
      </c>
      <c r="P1166" s="208" t="s">
        <v>112</v>
      </c>
      <c r="Q1166" s="240">
        <f t="shared" si="462"/>
        <v>20.913151999999997</v>
      </c>
      <c r="R1166" s="239">
        <v>1</v>
      </c>
      <c r="S1166" s="240">
        <f t="shared" si="432"/>
        <v>21.91</v>
      </c>
      <c r="T1166" s="216" t="s">
        <v>48</v>
      </c>
      <c r="U1166" s="196" t="str">
        <f t="shared" si="430"/>
        <v>21.91 Hrs</v>
      </c>
    </row>
    <row r="1167" spans="3:21" s="185" customFormat="1" ht="20.25" customHeight="1">
      <c r="C1167" s="198"/>
      <c r="D1167" s="203">
        <f t="shared" si="467"/>
        <v>1157</v>
      </c>
      <c r="E1167" s="207" t="s">
        <v>546</v>
      </c>
      <c r="F1167" s="211">
        <f t="shared" si="468"/>
        <v>1156</v>
      </c>
      <c r="G1167" s="206" t="s">
        <v>63</v>
      </c>
      <c r="H1167" s="206"/>
      <c r="I1167" s="224">
        <v>18</v>
      </c>
      <c r="J1167" s="211" t="str">
        <f t="shared" si="469"/>
        <v>1664 mm id</v>
      </c>
      <c r="K1167" s="234">
        <v>1</v>
      </c>
      <c r="L1167" s="208" t="s">
        <v>81</v>
      </c>
      <c r="M1167" s="227">
        <f t="shared" si="466"/>
        <v>5.2282879999999992</v>
      </c>
      <c r="N1167" s="208" t="s">
        <v>39</v>
      </c>
      <c r="O1167" s="218">
        <v>3.5</v>
      </c>
      <c r="P1167" s="208" t="s">
        <v>112</v>
      </c>
      <c r="Q1167" s="240">
        <f t="shared" si="462"/>
        <v>18.299007999999997</v>
      </c>
      <c r="R1167" s="239">
        <v>1</v>
      </c>
      <c r="S1167" s="240">
        <f t="shared" si="432"/>
        <v>19.3</v>
      </c>
      <c r="T1167" s="216" t="s">
        <v>48</v>
      </c>
      <c r="U1167" s="196" t="str">
        <f t="shared" si="430"/>
        <v>19.3 Hrs</v>
      </c>
    </row>
    <row r="1168" spans="3:21" s="185" customFormat="1" ht="20.25" customHeight="1">
      <c r="C1168" s="198">
        <f>D1168</f>
        <v>1158</v>
      </c>
      <c r="D1168" s="203">
        <f t="shared" si="467"/>
        <v>1158</v>
      </c>
      <c r="E1168" s="204" t="s">
        <v>547</v>
      </c>
      <c r="F1168" s="210">
        <f>C1163</f>
        <v>1153</v>
      </c>
      <c r="G1168" s="206"/>
      <c r="H1168" s="206"/>
      <c r="I1168" s="208"/>
      <c r="J1168" s="208"/>
      <c r="K1168" s="234"/>
      <c r="L1168" s="208"/>
      <c r="M1168" s="217"/>
      <c r="N1168" s="208"/>
      <c r="O1168" s="218"/>
      <c r="P1168" s="208"/>
      <c r="Q1168" s="240"/>
      <c r="R1168" s="239"/>
      <c r="S1168" s="240"/>
      <c r="T1168" s="216"/>
      <c r="U1168" s="196"/>
    </row>
    <row r="1169" spans="3:21" s="185" customFormat="1" ht="20.25" customHeight="1">
      <c r="C1169" s="198"/>
      <c r="D1169" s="203">
        <f t="shared" si="467"/>
        <v>1159</v>
      </c>
      <c r="E1169" s="207" t="s">
        <v>548</v>
      </c>
      <c r="F1169" s="211"/>
      <c r="G1169" s="206" t="s">
        <v>201</v>
      </c>
      <c r="H1169" s="206"/>
      <c r="I1169" s="224">
        <v>12</v>
      </c>
      <c r="J1169" s="211" t="str">
        <f>J1167</f>
        <v>1664 mm id</v>
      </c>
      <c r="K1169" s="234">
        <v>1</v>
      </c>
      <c r="L1169" s="208" t="s">
        <v>81</v>
      </c>
      <c r="M1169" s="217">
        <v>1</v>
      </c>
      <c r="N1169" s="208" t="s">
        <v>249</v>
      </c>
      <c r="O1169" s="218">
        <v>1</v>
      </c>
      <c r="P1169" s="208" t="s">
        <v>112</v>
      </c>
      <c r="Q1169" s="240">
        <f t="shared" ref="Q1169:Q1173" si="470">M1169*O1169</f>
        <v>1</v>
      </c>
      <c r="R1169" s="239">
        <v>1</v>
      </c>
      <c r="S1169" s="240">
        <f t="shared" si="432"/>
        <v>2</v>
      </c>
      <c r="T1169" s="216" t="s">
        <v>48</v>
      </c>
      <c r="U1169" s="196" t="str">
        <f t="shared" si="430"/>
        <v>2 Hrs</v>
      </c>
    </row>
    <row r="1170" spans="3:21" s="185" customFormat="1" ht="20.25" customHeight="1">
      <c r="C1170" s="198"/>
      <c r="D1170" s="203">
        <f t="shared" si="467"/>
        <v>1160</v>
      </c>
      <c r="E1170" s="207" t="s">
        <v>549</v>
      </c>
      <c r="F1170" s="211">
        <f t="shared" ref="F1170:F1173" si="471">D1169</f>
        <v>1159</v>
      </c>
      <c r="G1170" s="206" t="s">
        <v>115</v>
      </c>
      <c r="H1170" s="206"/>
      <c r="I1170" s="224">
        <v>12</v>
      </c>
      <c r="J1170" s="211" t="str">
        <f t="shared" ref="J1170:J1173" si="472">J1169</f>
        <v>1664 mm id</v>
      </c>
      <c r="K1170" s="234">
        <v>1</v>
      </c>
      <c r="L1170" s="208" t="s">
        <v>81</v>
      </c>
      <c r="M1170" s="227">
        <f t="shared" ref="M1170:M1173" si="473">LEFT(J1170,SEARCH(" ",J1170,1)-1)*K1170*3.142/1000</f>
        <v>5.2282879999999992</v>
      </c>
      <c r="N1170" s="208" t="s">
        <v>249</v>
      </c>
      <c r="O1170" s="246">
        <f>VLOOKUP(I1170,BM!$A$2:$X$104,17,FALSE)</f>
        <v>2.5</v>
      </c>
      <c r="P1170" s="208" t="s">
        <v>112</v>
      </c>
      <c r="Q1170" s="240">
        <f t="shared" si="470"/>
        <v>13.070719999999998</v>
      </c>
      <c r="R1170" s="239">
        <v>1</v>
      </c>
      <c r="S1170" s="240">
        <f t="shared" si="432"/>
        <v>14.07</v>
      </c>
      <c r="T1170" s="216" t="s">
        <v>48</v>
      </c>
      <c r="U1170" s="196" t="str">
        <f t="shared" si="430"/>
        <v>14.07 Hrs</v>
      </c>
    </row>
    <row r="1171" spans="3:21" s="185" customFormat="1" ht="20.25" customHeight="1">
      <c r="C1171" s="198"/>
      <c r="D1171" s="203">
        <f t="shared" si="467"/>
        <v>1161</v>
      </c>
      <c r="E1171" s="207" t="s">
        <v>550</v>
      </c>
      <c r="F1171" s="211">
        <f t="shared" si="471"/>
        <v>1160</v>
      </c>
      <c r="G1171" s="206" t="s">
        <v>61</v>
      </c>
      <c r="H1171" s="206"/>
      <c r="I1171" s="224">
        <v>18</v>
      </c>
      <c r="J1171" s="211" t="str">
        <f t="shared" si="472"/>
        <v>1664 mm id</v>
      </c>
      <c r="K1171" s="234">
        <v>1</v>
      </c>
      <c r="L1171" s="208" t="s">
        <v>81</v>
      </c>
      <c r="M1171" s="227">
        <f t="shared" si="473"/>
        <v>5.2282879999999992</v>
      </c>
      <c r="N1171" s="208" t="s">
        <v>249</v>
      </c>
      <c r="O1171" s="246">
        <f>VLOOKUP(I1171,BM!$A$2:$X$104,18,FALSE)</f>
        <v>1</v>
      </c>
      <c r="P1171" s="208" t="s">
        <v>112</v>
      </c>
      <c r="Q1171" s="240">
        <f t="shared" si="470"/>
        <v>5.2282879999999992</v>
      </c>
      <c r="R1171" s="239">
        <v>1</v>
      </c>
      <c r="S1171" s="240">
        <f t="shared" si="432"/>
        <v>6.23</v>
      </c>
      <c r="T1171" s="216" t="s">
        <v>48</v>
      </c>
      <c r="U1171" s="196" t="str">
        <f t="shared" si="430"/>
        <v>6.23 Hrs</v>
      </c>
    </row>
    <row r="1172" spans="3:21" s="185" customFormat="1" ht="20.25" customHeight="1">
      <c r="C1172" s="198"/>
      <c r="D1172" s="203">
        <f t="shared" si="467"/>
        <v>1162</v>
      </c>
      <c r="E1172" s="207" t="s">
        <v>551</v>
      </c>
      <c r="F1172" s="211">
        <f t="shared" si="471"/>
        <v>1161</v>
      </c>
      <c r="G1172" s="206" t="s">
        <v>115</v>
      </c>
      <c r="H1172" s="206"/>
      <c r="I1172" s="224">
        <v>6</v>
      </c>
      <c r="J1172" s="211" t="str">
        <f t="shared" si="472"/>
        <v>1664 mm id</v>
      </c>
      <c r="K1172" s="234">
        <v>1</v>
      </c>
      <c r="L1172" s="208" t="s">
        <v>81</v>
      </c>
      <c r="M1172" s="227">
        <f t="shared" si="473"/>
        <v>5.2282879999999992</v>
      </c>
      <c r="N1172" s="208" t="s">
        <v>249</v>
      </c>
      <c r="O1172" s="246">
        <f>VLOOKUP(I1172,BM!$A$2:$X$104,17,FALSE)</f>
        <v>0.9</v>
      </c>
      <c r="P1172" s="208" t="s">
        <v>112</v>
      </c>
      <c r="Q1172" s="240">
        <f t="shared" si="470"/>
        <v>4.7054591999999991</v>
      </c>
      <c r="R1172" s="239">
        <v>1</v>
      </c>
      <c r="S1172" s="240">
        <f t="shared" si="432"/>
        <v>5.71</v>
      </c>
      <c r="T1172" s="216" t="s">
        <v>48</v>
      </c>
      <c r="U1172" s="196" t="str">
        <f t="shared" si="430"/>
        <v>5.71 Hrs</v>
      </c>
    </row>
    <row r="1173" spans="3:21" s="185" customFormat="1" ht="20.25" customHeight="1">
      <c r="C1173" s="198"/>
      <c r="D1173" s="203">
        <f t="shared" si="467"/>
        <v>1163</v>
      </c>
      <c r="E1173" s="207" t="s">
        <v>552</v>
      </c>
      <c r="F1173" s="211">
        <f t="shared" si="471"/>
        <v>1162</v>
      </c>
      <c r="G1173" s="206" t="s">
        <v>61</v>
      </c>
      <c r="H1173" s="206"/>
      <c r="I1173" s="224">
        <v>18</v>
      </c>
      <c r="J1173" s="211" t="str">
        <f t="shared" si="472"/>
        <v>1664 mm id</v>
      </c>
      <c r="K1173" s="234">
        <v>1</v>
      </c>
      <c r="L1173" s="208" t="s">
        <v>81</v>
      </c>
      <c r="M1173" s="227">
        <f t="shared" si="473"/>
        <v>5.2282879999999992</v>
      </c>
      <c r="N1173" s="208" t="s">
        <v>249</v>
      </c>
      <c r="O1173" s="246">
        <f>VLOOKUP(I1173,BM!$A$2:$X$104,20,FALSE)</f>
        <v>0.5</v>
      </c>
      <c r="P1173" s="208" t="s">
        <v>112</v>
      </c>
      <c r="Q1173" s="240">
        <f t="shared" si="470"/>
        <v>2.6141439999999996</v>
      </c>
      <c r="R1173" s="239">
        <v>1</v>
      </c>
      <c r="S1173" s="240">
        <f t="shared" si="432"/>
        <v>3.61</v>
      </c>
      <c r="T1173" s="216" t="s">
        <v>48</v>
      </c>
      <c r="U1173" s="196" t="str">
        <f t="shared" si="430"/>
        <v>3.61 Hrs</v>
      </c>
    </row>
    <row r="1174" spans="3:21" s="185" customFormat="1" ht="20.25" customHeight="1">
      <c r="C1174" s="198">
        <f>D1174</f>
        <v>1164</v>
      </c>
      <c r="D1174" s="203">
        <f t="shared" si="467"/>
        <v>1164</v>
      </c>
      <c r="E1174" s="204" t="s">
        <v>553</v>
      </c>
      <c r="F1174" s="210">
        <f>C1168</f>
        <v>1158</v>
      </c>
      <c r="G1174" s="206"/>
      <c r="H1174" s="206"/>
      <c r="I1174" s="208"/>
      <c r="J1174" s="208"/>
      <c r="K1174" s="234"/>
      <c r="L1174" s="208"/>
      <c r="M1174" s="217"/>
      <c r="N1174" s="208"/>
      <c r="O1174" s="218"/>
      <c r="P1174" s="208"/>
      <c r="Q1174" s="240"/>
      <c r="R1174" s="239"/>
      <c r="S1174" s="240"/>
      <c r="T1174" s="216"/>
      <c r="U1174" s="196"/>
    </row>
    <row r="1175" spans="3:21" s="185" customFormat="1" ht="20.25" customHeight="1">
      <c r="C1175" s="198"/>
      <c r="D1175" s="203">
        <f t="shared" si="467"/>
        <v>1165</v>
      </c>
      <c r="E1175" s="207" t="s">
        <v>554</v>
      </c>
      <c r="F1175" s="211"/>
      <c r="G1175" s="206" t="s">
        <v>312</v>
      </c>
      <c r="H1175" s="206"/>
      <c r="I1175" s="233">
        <f>I1173</f>
        <v>18</v>
      </c>
      <c r="J1175" s="211" t="str">
        <f t="shared" ref="J1175:L1175" si="474">J1173</f>
        <v>1664 mm id</v>
      </c>
      <c r="K1175" s="225">
        <f t="shared" si="474"/>
        <v>1</v>
      </c>
      <c r="L1175" s="211" t="str">
        <f t="shared" si="474"/>
        <v>Nos</v>
      </c>
      <c r="M1175" s="208">
        <v>1</v>
      </c>
      <c r="N1175" s="208" t="s">
        <v>39</v>
      </c>
      <c r="O1175" s="218">
        <v>1</v>
      </c>
      <c r="P1175" s="208" t="s">
        <v>41</v>
      </c>
      <c r="Q1175" s="240">
        <f t="shared" ref="Q1175" si="475">M1175*O1175</f>
        <v>1</v>
      </c>
      <c r="R1175" s="211"/>
      <c r="S1175" s="240">
        <f t="shared" si="432"/>
        <v>1</v>
      </c>
      <c r="T1175" s="216" t="s">
        <v>42</v>
      </c>
      <c r="U1175" s="196" t="str">
        <f t="shared" si="430"/>
        <v>1 Days</v>
      </c>
    </row>
    <row r="1176" spans="3:21" s="185" customFormat="1" ht="20.25" customHeight="1">
      <c r="C1176" s="198">
        <f>D1176</f>
        <v>1166</v>
      </c>
      <c r="D1176" s="203">
        <f t="shared" si="467"/>
        <v>1166</v>
      </c>
      <c r="E1176" s="204" t="s">
        <v>555</v>
      </c>
      <c r="F1176" s="210">
        <f>D1174</f>
        <v>1164</v>
      </c>
      <c r="G1176" s="206"/>
      <c r="H1176" s="206"/>
      <c r="I1176" s="208"/>
      <c r="J1176" s="208"/>
      <c r="K1176" s="234"/>
      <c r="L1176" s="208"/>
      <c r="M1176" s="217"/>
      <c r="N1176" s="208"/>
      <c r="O1176" s="218"/>
      <c r="P1176" s="208"/>
      <c r="Q1176" s="240"/>
      <c r="R1176" s="239"/>
      <c r="S1176" s="240"/>
      <c r="T1176" s="216"/>
      <c r="U1176" s="196"/>
    </row>
    <row r="1177" spans="3:21" s="185" customFormat="1" ht="20.25" customHeight="1">
      <c r="C1177" s="198"/>
      <c r="D1177" s="203">
        <f t="shared" si="467"/>
        <v>1167</v>
      </c>
      <c r="E1177" s="207" t="s">
        <v>556</v>
      </c>
      <c r="F1177" s="211"/>
      <c r="G1177" s="206" t="s">
        <v>44</v>
      </c>
      <c r="H1177" s="206"/>
      <c r="I1177" s="224">
        <v>20</v>
      </c>
      <c r="J1177" s="211" t="str">
        <f>J1175</f>
        <v>1664 mm id</v>
      </c>
      <c r="K1177" s="234">
        <v>1</v>
      </c>
      <c r="L1177" s="208" t="s">
        <v>81</v>
      </c>
      <c r="M1177" s="217">
        <v>1</v>
      </c>
      <c r="N1177" s="208" t="s">
        <v>81</v>
      </c>
      <c r="O1177" s="218">
        <v>3</v>
      </c>
      <c r="P1177" s="208" t="s">
        <v>112</v>
      </c>
      <c r="Q1177" s="240">
        <f t="shared" ref="Q1177:Q1178" si="476">M1177*O1177</f>
        <v>3</v>
      </c>
      <c r="R1177" s="239">
        <v>1</v>
      </c>
      <c r="S1177" s="240">
        <f t="shared" si="432"/>
        <v>4</v>
      </c>
      <c r="T1177" s="216" t="s">
        <v>48</v>
      </c>
      <c r="U1177" s="196" t="str">
        <f t="shared" si="430"/>
        <v>4 Hrs</v>
      </c>
    </row>
    <row r="1178" spans="3:21" s="185" customFormat="1" ht="20.25" customHeight="1">
      <c r="C1178" s="198"/>
      <c r="D1178" s="203">
        <f t="shared" si="467"/>
        <v>1168</v>
      </c>
      <c r="E1178" s="207" t="s">
        <v>557</v>
      </c>
      <c r="F1178" s="211">
        <f t="shared" ref="F1178" si="477">D1177</f>
        <v>1167</v>
      </c>
      <c r="G1178" s="206" t="s">
        <v>44</v>
      </c>
      <c r="H1178" s="206"/>
      <c r="I1178" s="224">
        <v>20</v>
      </c>
      <c r="J1178" s="211" t="str">
        <f>J1177</f>
        <v>1664 mm id</v>
      </c>
      <c r="K1178" s="234">
        <v>1</v>
      </c>
      <c r="L1178" s="208" t="s">
        <v>81</v>
      </c>
      <c r="M1178" s="217">
        <v>1</v>
      </c>
      <c r="N1178" s="208" t="s">
        <v>81</v>
      </c>
      <c r="O1178" s="218">
        <v>1</v>
      </c>
      <c r="P1178" s="208" t="s">
        <v>112</v>
      </c>
      <c r="Q1178" s="240">
        <f t="shared" si="476"/>
        <v>1</v>
      </c>
      <c r="R1178" s="239">
        <v>1</v>
      </c>
      <c r="S1178" s="240">
        <f t="shared" si="432"/>
        <v>2</v>
      </c>
      <c r="T1178" s="216" t="s">
        <v>48</v>
      </c>
      <c r="U1178" s="196" t="str">
        <f t="shared" si="430"/>
        <v>2 Hrs</v>
      </c>
    </row>
    <row r="1179" spans="3:21" s="185" customFormat="1" ht="20.25" customHeight="1">
      <c r="C1179" s="198">
        <f>D1179</f>
        <v>1169</v>
      </c>
      <c r="D1179" s="203">
        <f t="shared" si="467"/>
        <v>1169</v>
      </c>
      <c r="E1179" s="204" t="s">
        <v>558</v>
      </c>
      <c r="F1179" s="210">
        <f>D1176</f>
        <v>1166</v>
      </c>
      <c r="G1179" s="206"/>
      <c r="H1179" s="206"/>
      <c r="I1179" s="208"/>
      <c r="J1179" s="208"/>
      <c r="K1179" s="234"/>
      <c r="L1179" s="208"/>
      <c r="M1179" s="217"/>
      <c r="N1179" s="208"/>
      <c r="O1179" s="218"/>
      <c r="P1179" s="208"/>
      <c r="Q1179" s="240"/>
      <c r="R1179" s="239"/>
      <c r="S1179" s="240"/>
      <c r="T1179" s="216"/>
      <c r="U1179" s="196"/>
    </row>
    <row r="1180" spans="3:21" s="185" customFormat="1" ht="20.25" customHeight="1">
      <c r="C1180" s="198"/>
      <c r="D1180" s="203">
        <f t="shared" si="467"/>
        <v>1170</v>
      </c>
      <c r="E1180" s="207" t="s">
        <v>559</v>
      </c>
      <c r="F1180" s="211"/>
      <c r="G1180" s="206" t="s">
        <v>52</v>
      </c>
      <c r="H1180" s="206"/>
      <c r="I1180" s="208"/>
      <c r="J1180" s="234" t="s">
        <v>560</v>
      </c>
      <c r="K1180" s="234">
        <v>1</v>
      </c>
      <c r="L1180" s="208" t="s">
        <v>39</v>
      </c>
      <c r="M1180" s="217">
        <v>1</v>
      </c>
      <c r="N1180" s="208" t="s">
        <v>81</v>
      </c>
      <c r="O1180" s="218">
        <v>3</v>
      </c>
      <c r="P1180" s="208" t="s">
        <v>112</v>
      </c>
      <c r="Q1180" s="240">
        <f t="shared" ref="Q1180:Q1181" si="478">M1180*O1180</f>
        <v>3</v>
      </c>
      <c r="R1180" s="239">
        <v>1</v>
      </c>
      <c r="S1180" s="240">
        <f t="shared" si="432"/>
        <v>4</v>
      </c>
      <c r="T1180" s="216" t="s">
        <v>48</v>
      </c>
      <c r="U1180" s="196" t="str">
        <f t="shared" ref="U1180:U1243" si="479">CONCATENATE(S1180," ",T1180)</f>
        <v>4 Hrs</v>
      </c>
    </row>
    <row r="1181" spans="3:21" s="185" customFormat="1" ht="20.25" customHeight="1">
      <c r="C1181" s="198"/>
      <c r="D1181" s="203">
        <f t="shared" si="467"/>
        <v>1171</v>
      </c>
      <c r="E1181" s="207" t="s">
        <v>559</v>
      </c>
      <c r="F1181" s="211">
        <f t="shared" ref="F1181" si="480">D1180</f>
        <v>1170</v>
      </c>
      <c r="G1181" s="206" t="s">
        <v>52</v>
      </c>
      <c r="H1181" s="206"/>
      <c r="I1181" s="208"/>
      <c r="J1181" s="234" t="s">
        <v>560</v>
      </c>
      <c r="K1181" s="234">
        <v>1</v>
      </c>
      <c r="L1181" s="208" t="s">
        <v>39</v>
      </c>
      <c r="M1181" s="217">
        <v>1</v>
      </c>
      <c r="N1181" s="208" t="s">
        <v>81</v>
      </c>
      <c r="O1181" s="218">
        <v>3</v>
      </c>
      <c r="P1181" s="208" t="s">
        <v>112</v>
      </c>
      <c r="Q1181" s="240">
        <f t="shared" si="478"/>
        <v>3</v>
      </c>
      <c r="R1181" s="239">
        <v>1</v>
      </c>
      <c r="S1181" s="240">
        <f t="shared" ref="S1181:S1244" si="481">ROUND(Q1181+R1181,2)</f>
        <v>4</v>
      </c>
      <c r="T1181" s="216" t="s">
        <v>48</v>
      </c>
      <c r="U1181" s="196" t="str">
        <f t="shared" si="479"/>
        <v>4 Hrs</v>
      </c>
    </row>
    <row r="1182" spans="3:21" s="185" customFormat="1" ht="20.25" customHeight="1">
      <c r="C1182" s="198">
        <f>D1182</f>
        <v>1172</v>
      </c>
      <c r="D1182" s="203">
        <f t="shared" si="467"/>
        <v>1172</v>
      </c>
      <c r="E1182" s="204" t="s">
        <v>561</v>
      </c>
      <c r="F1182" s="210">
        <f>D1179</f>
        <v>1169</v>
      </c>
      <c r="G1182" s="206"/>
      <c r="H1182" s="206"/>
      <c r="I1182" s="208"/>
      <c r="J1182" s="208"/>
      <c r="K1182" s="234"/>
      <c r="L1182" s="208"/>
      <c r="M1182" s="217"/>
      <c r="N1182" s="208"/>
      <c r="O1182" s="218"/>
      <c r="P1182" s="208"/>
      <c r="Q1182" s="240"/>
      <c r="R1182" s="239"/>
      <c r="S1182" s="240"/>
      <c r="T1182" s="216"/>
      <c r="U1182" s="196"/>
    </row>
    <row r="1183" spans="3:21" s="185" customFormat="1" ht="20.25" customHeight="1">
      <c r="C1183" s="198"/>
      <c r="D1183" s="203">
        <f t="shared" si="467"/>
        <v>1173</v>
      </c>
      <c r="E1183" s="207" t="s">
        <v>559</v>
      </c>
      <c r="F1183" s="211"/>
      <c r="G1183" s="206" t="s">
        <v>121</v>
      </c>
      <c r="H1183" s="206"/>
      <c r="I1183" s="208"/>
      <c r="J1183" s="234" t="s">
        <v>560</v>
      </c>
      <c r="K1183" s="234">
        <v>1</v>
      </c>
      <c r="L1183" s="208" t="s">
        <v>39</v>
      </c>
      <c r="M1183" s="217">
        <v>1</v>
      </c>
      <c r="N1183" s="208" t="s">
        <v>81</v>
      </c>
      <c r="O1183" s="218">
        <v>2</v>
      </c>
      <c r="P1183" s="208" t="s">
        <v>112</v>
      </c>
      <c r="Q1183" s="240">
        <f t="shared" ref="Q1183:Q1184" si="482">M1183*O1183</f>
        <v>2</v>
      </c>
      <c r="R1183" s="239">
        <v>1</v>
      </c>
      <c r="S1183" s="240">
        <f t="shared" si="481"/>
        <v>3</v>
      </c>
      <c r="T1183" s="216" t="s">
        <v>48</v>
      </c>
      <c r="U1183" s="196" t="str">
        <f t="shared" si="479"/>
        <v>3 Hrs</v>
      </c>
    </row>
    <row r="1184" spans="3:21" s="185" customFormat="1" ht="20.25" customHeight="1">
      <c r="C1184" s="198"/>
      <c r="D1184" s="203">
        <f t="shared" si="467"/>
        <v>1174</v>
      </c>
      <c r="E1184" s="207" t="s">
        <v>559</v>
      </c>
      <c r="F1184" s="211">
        <f t="shared" ref="F1184" si="483">D1183</f>
        <v>1173</v>
      </c>
      <c r="G1184" s="206" t="s">
        <v>121</v>
      </c>
      <c r="H1184" s="206"/>
      <c r="I1184" s="208"/>
      <c r="J1184" s="234" t="s">
        <v>560</v>
      </c>
      <c r="K1184" s="234">
        <v>1</v>
      </c>
      <c r="L1184" s="208" t="s">
        <v>39</v>
      </c>
      <c r="M1184" s="217">
        <v>1</v>
      </c>
      <c r="N1184" s="208" t="s">
        <v>81</v>
      </c>
      <c r="O1184" s="218">
        <v>2</v>
      </c>
      <c r="P1184" s="208" t="s">
        <v>112</v>
      </c>
      <c r="Q1184" s="240">
        <f t="shared" si="482"/>
        <v>2</v>
      </c>
      <c r="R1184" s="239">
        <v>1</v>
      </c>
      <c r="S1184" s="240">
        <f t="shared" si="481"/>
        <v>3</v>
      </c>
      <c r="T1184" s="216" t="s">
        <v>48</v>
      </c>
      <c r="U1184" s="196" t="str">
        <f t="shared" si="479"/>
        <v>3 Hrs</v>
      </c>
    </row>
    <row r="1185" spans="3:21" s="185" customFormat="1" ht="20.25" customHeight="1">
      <c r="C1185" s="198">
        <f>D1185</f>
        <v>1175</v>
      </c>
      <c r="D1185" s="203">
        <f t="shared" si="467"/>
        <v>1175</v>
      </c>
      <c r="E1185" s="204" t="s">
        <v>562</v>
      </c>
      <c r="F1185" s="210">
        <f>D1182</f>
        <v>1172</v>
      </c>
      <c r="G1185" s="206"/>
      <c r="H1185" s="206"/>
      <c r="I1185" s="208"/>
      <c r="J1185" s="208"/>
      <c r="K1185" s="234"/>
      <c r="L1185" s="208"/>
      <c r="M1185" s="217"/>
      <c r="N1185" s="208"/>
      <c r="O1185" s="218"/>
      <c r="P1185" s="208"/>
      <c r="Q1185" s="240"/>
      <c r="R1185" s="239"/>
      <c r="S1185" s="240"/>
      <c r="T1185" s="216"/>
      <c r="U1185" s="196"/>
    </row>
    <row r="1186" spans="3:21" s="185" customFormat="1" ht="20.25" customHeight="1">
      <c r="C1186" s="198"/>
      <c r="D1186" s="203">
        <f t="shared" si="467"/>
        <v>1176</v>
      </c>
      <c r="E1186" s="207" t="s">
        <v>563</v>
      </c>
      <c r="F1186" s="211"/>
      <c r="G1186" s="206" t="s">
        <v>111</v>
      </c>
      <c r="H1186" s="206"/>
      <c r="I1186" s="208"/>
      <c r="J1186" s="234" t="s">
        <v>560</v>
      </c>
      <c r="K1186" s="234">
        <v>1</v>
      </c>
      <c r="L1186" s="208" t="s">
        <v>564</v>
      </c>
      <c r="M1186" s="217">
        <v>1</v>
      </c>
      <c r="N1186" s="208" t="s">
        <v>81</v>
      </c>
      <c r="O1186" s="246">
        <f>VLOOKUP(J1186,BM!$A$2:$X$104,11,FALSE)</f>
        <v>1</v>
      </c>
      <c r="P1186" s="208" t="s">
        <v>112</v>
      </c>
      <c r="Q1186" s="240">
        <f t="shared" ref="Q1186:Q1187" si="484">M1186*O1186</f>
        <v>1</v>
      </c>
      <c r="R1186" s="239">
        <v>1</v>
      </c>
      <c r="S1186" s="240">
        <f t="shared" si="481"/>
        <v>2</v>
      </c>
      <c r="T1186" s="216" t="s">
        <v>48</v>
      </c>
      <c r="U1186" s="196" t="str">
        <f t="shared" si="479"/>
        <v>2 Hrs</v>
      </c>
    </row>
    <row r="1187" spans="3:21" s="185" customFormat="1" ht="20.25" customHeight="1">
      <c r="C1187" s="198"/>
      <c r="D1187" s="203">
        <f t="shared" si="467"/>
        <v>1177</v>
      </c>
      <c r="E1187" s="207" t="s">
        <v>565</v>
      </c>
      <c r="F1187" s="211">
        <f t="shared" ref="F1187" si="485">D1186</f>
        <v>1176</v>
      </c>
      <c r="G1187" s="206" t="s">
        <v>111</v>
      </c>
      <c r="H1187" s="206"/>
      <c r="I1187" s="208"/>
      <c r="J1187" s="225" t="str">
        <f>J1186</f>
        <v>40NB</v>
      </c>
      <c r="K1187" s="234">
        <v>1</v>
      </c>
      <c r="L1187" s="208" t="s">
        <v>564</v>
      </c>
      <c r="M1187" s="217">
        <v>1</v>
      </c>
      <c r="N1187" s="208" t="s">
        <v>81</v>
      </c>
      <c r="O1187" s="246">
        <f>VLOOKUP(J1187,BM!$A$2:$X$104,11,FALSE)</f>
        <v>1</v>
      </c>
      <c r="P1187" s="208" t="s">
        <v>112</v>
      </c>
      <c r="Q1187" s="240">
        <f t="shared" si="484"/>
        <v>1</v>
      </c>
      <c r="R1187" s="239">
        <v>1</v>
      </c>
      <c r="S1187" s="240">
        <f t="shared" si="481"/>
        <v>2</v>
      </c>
      <c r="T1187" s="216" t="s">
        <v>48</v>
      </c>
      <c r="U1187" s="196" t="str">
        <f t="shared" si="479"/>
        <v>2 Hrs</v>
      </c>
    </row>
    <row r="1188" spans="3:21" s="185" customFormat="1" ht="20.25" customHeight="1">
      <c r="C1188" s="198">
        <f>D1188</f>
        <v>1178</v>
      </c>
      <c r="D1188" s="203">
        <f t="shared" si="467"/>
        <v>1178</v>
      </c>
      <c r="E1188" s="204" t="s">
        <v>566</v>
      </c>
      <c r="F1188" s="210">
        <f>D1185</f>
        <v>1175</v>
      </c>
      <c r="G1188" s="206"/>
      <c r="H1188" s="206"/>
      <c r="I1188" s="208"/>
      <c r="J1188" s="208"/>
      <c r="K1188" s="234"/>
      <c r="L1188" s="208"/>
      <c r="M1188" s="217"/>
      <c r="N1188" s="208"/>
      <c r="O1188" s="218"/>
      <c r="P1188" s="208"/>
      <c r="Q1188" s="240"/>
      <c r="R1188" s="239"/>
      <c r="S1188" s="240"/>
      <c r="T1188" s="216"/>
      <c r="U1188" s="196"/>
    </row>
    <row r="1189" spans="3:21" s="185" customFormat="1" ht="20.25" customHeight="1">
      <c r="C1189" s="198"/>
      <c r="D1189" s="203">
        <f t="shared" si="467"/>
        <v>1179</v>
      </c>
      <c r="E1189" s="207" t="s">
        <v>567</v>
      </c>
      <c r="F1189" s="211"/>
      <c r="G1189" s="206" t="s">
        <v>568</v>
      </c>
      <c r="H1189" s="206"/>
      <c r="I1189" s="208"/>
      <c r="J1189" s="225" t="str">
        <f>J1187</f>
        <v>40NB</v>
      </c>
      <c r="K1189" s="234">
        <v>1</v>
      </c>
      <c r="L1189" s="208" t="s">
        <v>564</v>
      </c>
      <c r="M1189" s="217">
        <v>1</v>
      </c>
      <c r="N1189" s="208" t="s">
        <v>81</v>
      </c>
      <c r="O1189" s="218">
        <v>0.5</v>
      </c>
      <c r="P1189" s="208" t="s">
        <v>112</v>
      </c>
      <c r="Q1189" s="240">
        <f t="shared" ref="Q1189:Q1190" si="486">M1189*O1189</f>
        <v>0.5</v>
      </c>
      <c r="R1189" s="239">
        <v>1</v>
      </c>
      <c r="S1189" s="240">
        <f t="shared" si="481"/>
        <v>1.5</v>
      </c>
      <c r="T1189" s="216" t="s">
        <v>48</v>
      </c>
      <c r="U1189" s="196" t="str">
        <f t="shared" si="479"/>
        <v>1.5 Hrs</v>
      </c>
    </row>
    <row r="1190" spans="3:21" s="185" customFormat="1" ht="20.25" customHeight="1">
      <c r="C1190" s="198"/>
      <c r="D1190" s="203">
        <f t="shared" si="467"/>
        <v>1180</v>
      </c>
      <c r="E1190" s="207" t="s">
        <v>569</v>
      </c>
      <c r="F1190" s="211">
        <f t="shared" ref="F1190" si="487">D1189</f>
        <v>1179</v>
      </c>
      <c r="G1190" s="206" t="s">
        <v>568</v>
      </c>
      <c r="H1190" s="206"/>
      <c r="I1190" s="208"/>
      <c r="J1190" s="225" t="str">
        <f>J1187</f>
        <v>40NB</v>
      </c>
      <c r="K1190" s="234">
        <v>1</v>
      </c>
      <c r="L1190" s="208" t="s">
        <v>564</v>
      </c>
      <c r="M1190" s="217">
        <v>1</v>
      </c>
      <c r="N1190" s="208" t="s">
        <v>81</v>
      </c>
      <c r="O1190" s="218">
        <v>0.5</v>
      </c>
      <c r="P1190" s="208" t="s">
        <v>112</v>
      </c>
      <c r="Q1190" s="240">
        <f t="shared" si="486"/>
        <v>0.5</v>
      </c>
      <c r="R1190" s="239">
        <v>1</v>
      </c>
      <c r="S1190" s="240">
        <f t="shared" si="481"/>
        <v>1.5</v>
      </c>
      <c r="T1190" s="216" t="s">
        <v>48</v>
      </c>
      <c r="U1190" s="196" t="str">
        <f t="shared" si="479"/>
        <v>1.5 Hrs</v>
      </c>
    </row>
    <row r="1191" spans="3:21" s="185" customFormat="1" ht="20.25" customHeight="1">
      <c r="C1191" s="198">
        <f>D1191</f>
        <v>1181</v>
      </c>
      <c r="D1191" s="203">
        <f t="shared" si="467"/>
        <v>1181</v>
      </c>
      <c r="E1191" s="204" t="s">
        <v>570</v>
      </c>
      <c r="F1191" s="210">
        <f>D1188</f>
        <v>1178</v>
      </c>
      <c r="G1191" s="206"/>
      <c r="H1191" s="206"/>
      <c r="I1191" s="208"/>
      <c r="J1191" s="208"/>
      <c r="K1191" s="234"/>
      <c r="L1191" s="208"/>
      <c r="M1191" s="217"/>
      <c r="N1191" s="208"/>
      <c r="O1191" s="218"/>
      <c r="P1191" s="208"/>
      <c r="Q1191" s="240"/>
      <c r="R1191" s="239"/>
      <c r="S1191" s="240"/>
      <c r="T1191" s="216"/>
      <c r="U1191" s="196"/>
    </row>
    <row r="1192" spans="3:21" s="185" customFormat="1" ht="20.25" customHeight="1">
      <c r="C1192" s="198"/>
      <c r="D1192" s="203">
        <f t="shared" si="467"/>
        <v>1182</v>
      </c>
      <c r="E1192" s="207" t="s">
        <v>571</v>
      </c>
      <c r="F1192" s="211"/>
      <c r="G1192" s="206" t="s">
        <v>37</v>
      </c>
      <c r="H1192" s="206"/>
      <c r="I1192" s="224" t="s">
        <v>560</v>
      </c>
      <c r="J1192" s="208" t="str">
        <f>J1190</f>
        <v>40NB</v>
      </c>
      <c r="K1192" s="234">
        <v>1</v>
      </c>
      <c r="L1192" s="208" t="s">
        <v>81</v>
      </c>
      <c r="M1192" s="217">
        <v>1</v>
      </c>
      <c r="N1192" s="208" t="s">
        <v>81</v>
      </c>
      <c r="O1192" s="218">
        <v>0.5</v>
      </c>
      <c r="P1192" s="208" t="s">
        <v>112</v>
      </c>
      <c r="Q1192" s="240">
        <f t="shared" ref="Q1192:Q1197" si="488">M1192*O1192</f>
        <v>0.5</v>
      </c>
      <c r="R1192" s="239">
        <v>1</v>
      </c>
      <c r="S1192" s="240">
        <f t="shared" si="481"/>
        <v>1.5</v>
      </c>
      <c r="T1192" s="216" t="s">
        <v>48</v>
      </c>
      <c r="U1192" s="196" t="str">
        <f t="shared" si="479"/>
        <v>1.5 Hrs</v>
      </c>
    </row>
    <row r="1193" spans="3:21" s="185" customFormat="1" ht="20.25" customHeight="1">
      <c r="C1193" s="198"/>
      <c r="D1193" s="203">
        <f t="shared" si="467"/>
        <v>1183</v>
      </c>
      <c r="E1193" s="207" t="s">
        <v>572</v>
      </c>
      <c r="F1193" s="211">
        <f t="shared" ref="F1193:F1197" si="489">D1192</f>
        <v>1182</v>
      </c>
      <c r="G1193" s="206" t="s">
        <v>115</v>
      </c>
      <c r="H1193" s="206"/>
      <c r="I1193" s="224">
        <v>10</v>
      </c>
      <c r="J1193" s="225" t="s">
        <v>573</v>
      </c>
      <c r="K1193" s="234">
        <v>1</v>
      </c>
      <c r="L1193" s="208" t="s">
        <v>39</v>
      </c>
      <c r="M1193" s="227">
        <f t="shared" ref="M1193:M1194" si="490">LEFT(J1193,SEARCH(" ",J1193,1)-1)*K1193*3.142/1000</f>
        <v>0.23565</v>
      </c>
      <c r="N1193" s="208"/>
      <c r="O1193" s="246">
        <f>VLOOKUP(I1193,BM!$A$2:$X$104,17,FALSE)</f>
        <v>1.88</v>
      </c>
      <c r="P1193" s="208" t="s">
        <v>112</v>
      </c>
      <c r="Q1193" s="240">
        <f t="shared" si="488"/>
        <v>0.44302199999999997</v>
      </c>
      <c r="R1193" s="239">
        <v>1</v>
      </c>
      <c r="S1193" s="240">
        <f t="shared" si="481"/>
        <v>1.44</v>
      </c>
      <c r="T1193" s="216" t="s">
        <v>48</v>
      </c>
      <c r="U1193" s="196" t="str">
        <f t="shared" si="479"/>
        <v>1.44 Hrs</v>
      </c>
    </row>
    <row r="1194" spans="3:21" s="185" customFormat="1" ht="20.25" customHeight="1">
      <c r="C1194" s="198"/>
      <c r="D1194" s="203">
        <f t="shared" si="467"/>
        <v>1184</v>
      </c>
      <c r="E1194" s="207" t="s">
        <v>574</v>
      </c>
      <c r="F1194" s="211">
        <f t="shared" si="489"/>
        <v>1183</v>
      </c>
      <c r="G1194" s="206" t="s">
        <v>115</v>
      </c>
      <c r="H1194" s="206"/>
      <c r="I1194" s="224">
        <v>10</v>
      </c>
      <c r="J1194" s="211" t="str">
        <f>J1193</f>
        <v>75 MM</v>
      </c>
      <c r="K1194" s="234">
        <v>1</v>
      </c>
      <c r="L1194" s="208" t="s">
        <v>39</v>
      </c>
      <c r="M1194" s="227">
        <f t="shared" si="490"/>
        <v>0.23565</v>
      </c>
      <c r="N1194" s="208"/>
      <c r="O1194" s="246">
        <f>VLOOKUP(I1194,BM!$A$2:$X$104,17,FALSE)</f>
        <v>1.88</v>
      </c>
      <c r="P1194" s="208" t="s">
        <v>112</v>
      </c>
      <c r="Q1194" s="240">
        <f t="shared" si="488"/>
        <v>0.44302199999999997</v>
      </c>
      <c r="R1194" s="239">
        <v>1</v>
      </c>
      <c r="S1194" s="240">
        <f t="shared" si="481"/>
        <v>1.44</v>
      </c>
      <c r="T1194" s="216" t="s">
        <v>48</v>
      </c>
      <c r="U1194" s="196" t="str">
        <f t="shared" si="479"/>
        <v>1.44 Hrs</v>
      </c>
    </row>
    <row r="1195" spans="3:21" s="185" customFormat="1" ht="20.25" customHeight="1">
      <c r="C1195" s="198"/>
      <c r="D1195" s="203">
        <f t="shared" si="467"/>
        <v>1185</v>
      </c>
      <c r="E1195" s="207" t="s">
        <v>575</v>
      </c>
      <c r="F1195" s="211">
        <f t="shared" si="489"/>
        <v>1184</v>
      </c>
      <c r="G1195" s="206" t="s">
        <v>44</v>
      </c>
      <c r="H1195" s="206"/>
      <c r="I1195" s="208"/>
      <c r="J1195" s="211" t="str">
        <f>J1194</f>
        <v>75 MM</v>
      </c>
      <c r="K1195" s="234">
        <v>2</v>
      </c>
      <c r="L1195" s="208" t="s">
        <v>39</v>
      </c>
      <c r="M1195" s="217">
        <v>2</v>
      </c>
      <c r="N1195" s="208"/>
      <c r="O1195" s="218">
        <v>0.5</v>
      </c>
      <c r="P1195" s="208" t="s">
        <v>112</v>
      </c>
      <c r="Q1195" s="240">
        <f t="shared" si="488"/>
        <v>1</v>
      </c>
      <c r="R1195" s="239">
        <v>1</v>
      </c>
      <c r="S1195" s="240">
        <f t="shared" si="481"/>
        <v>2</v>
      </c>
      <c r="T1195" s="216" t="s">
        <v>48</v>
      </c>
      <c r="U1195" s="196" t="str">
        <f t="shared" si="479"/>
        <v>2 Hrs</v>
      </c>
    </row>
    <row r="1196" spans="3:21" s="185" customFormat="1" ht="20.25" customHeight="1">
      <c r="C1196" s="198"/>
      <c r="D1196" s="203">
        <f t="shared" si="467"/>
        <v>1186</v>
      </c>
      <c r="E1196" s="207" t="s">
        <v>576</v>
      </c>
      <c r="F1196" s="211">
        <f t="shared" si="489"/>
        <v>1185</v>
      </c>
      <c r="G1196" s="206" t="s">
        <v>115</v>
      </c>
      <c r="H1196" s="206"/>
      <c r="I1196" s="224">
        <v>10</v>
      </c>
      <c r="J1196" s="211" t="str">
        <f>J1195</f>
        <v>75 MM</v>
      </c>
      <c r="K1196" s="234">
        <v>1</v>
      </c>
      <c r="L1196" s="208" t="s">
        <v>39</v>
      </c>
      <c r="M1196" s="227">
        <f t="shared" ref="M1196:M1197" si="491">LEFT(J1196,SEARCH(" ",J1196,1)-1)*K1196*3.142/1000</f>
        <v>0.23565</v>
      </c>
      <c r="N1196" s="208"/>
      <c r="O1196" s="246">
        <f>VLOOKUP(I1196,BM!$A$2:$X$104,17,FALSE)</f>
        <v>1.88</v>
      </c>
      <c r="P1196" s="208" t="s">
        <v>112</v>
      </c>
      <c r="Q1196" s="240">
        <f t="shared" si="488"/>
        <v>0.44302199999999997</v>
      </c>
      <c r="R1196" s="239">
        <v>1</v>
      </c>
      <c r="S1196" s="240">
        <f t="shared" si="481"/>
        <v>1.44</v>
      </c>
      <c r="T1196" s="216" t="s">
        <v>48</v>
      </c>
      <c r="U1196" s="196" t="str">
        <f t="shared" si="479"/>
        <v>1.44 Hrs</v>
      </c>
    </row>
    <row r="1197" spans="3:21" s="185" customFormat="1" ht="20.25" customHeight="1">
      <c r="C1197" s="198"/>
      <c r="D1197" s="203">
        <f t="shared" si="467"/>
        <v>1187</v>
      </c>
      <c r="E1197" s="207" t="s">
        <v>577</v>
      </c>
      <c r="F1197" s="211">
        <f t="shared" si="489"/>
        <v>1186</v>
      </c>
      <c r="G1197" s="206" t="s">
        <v>115</v>
      </c>
      <c r="H1197" s="206"/>
      <c r="I1197" s="224">
        <v>10</v>
      </c>
      <c r="J1197" s="211" t="str">
        <f>J1196</f>
        <v>75 MM</v>
      </c>
      <c r="K1197" s="234">
        <v>1</v>
      </c>
      <c r="L1197" s="208" t="s">
        <v>39</v>
      </c>
      <c r="M1197" s="227">
        <f t="shared" si="491"/>
        <v>0.23565</v>
      </c>
      <c r="N1197" s="208"/>
      <c r="O1197" s="246">
        <f>VLOOKUP(I1197,BM!$A$2:$X$104,17,FALSE)</f>
        <v>1.88</v>
      </c>
      <c r="P1197" s="208" t="s">
        <v>112</v>
      </c>
      <c r="Q1197" s="240">
        <f t="shared" si="488"/>
        <v>0.44302199999999997</v>
      </c>
      <c r="R1197" s="239">
        <v>1</v>
      </c>
      <c r="S1197" s="240">
        <f t="shared" si="481"/>
        <v>1.44</v>
      </c>
      <c r="T1197" s="216" t="s">
        <v>48</v>
      </c>
      <c r="U1197" s="196" t="str">
        <f t="shared" si="479"/>
        <v>1.44 Hrs</v>
      </c>
    </row>
    <row r="1198" spans="3:21" s="185" customFormat="1" ht="20.25" customHeight="1">
      <c r="C1198" s="198">
        <f>D1198</f>
        <v>1188</v>
      </c>
      <c r="D1198" s="203">
        <f t="shared" si="467"/>
        <v>1188</v>
      </c>
      <c r="E1198" s="204" t="s">
        <v>578</v>
      </c>
      <c r="F1198" s="210">
        <f>D1191</f>
        <v>1181</v>
      </c>
      <c r="G1198" s="206"/>
      <c r="H1198" s="206"/>
      <c r="I1198" s="208"/>
      <c r="J1198" s="208"/>
      <c r="K1198" s="234"/>
      <c r="L1198" s="208"/>
      <c r="M1198" s="217"/>
      <c r="N1198" s="208"/>
      <c r="O1198" s="218"/>
      <c r="P1198" s="208"/>
      <c r="Q1198" s="240"/>
      <c r="R1198" s="239"/>
      <c r="S1198" s="240"/>
      <c r="T1198" s="216"/>
      <c r="U1198" s="196"/>
    </row>
    <row r="1199" spans="3:21" s="185" customFormat="1" ht="20.25" customHeight="1">
      <c r="C1199" s="198"/>
      <c r="D1199" s="203">
        <f t="shared" si="467"/>
        <v>1189</v>
      </c>
      <c r="E1199" s="207" t="s">
        <v>579</v>
      </c>
      <c r="F1199" s="211"/>
      <c r="G1199" s="206" t="s">
        <v>149</v>
      </c>
      <c r="H1199" s="206"/>
      <c r="I1199" s="224">
        <v>20</v>
      </c>
      <c r="J1199" s="225" t="str">
        <f>J1190</f>
        <v>40NB</v>
      </c>
      <c r="K1199" s="234">
        <v>1</v>
      </c>
      <c r="L1199" s="208" t="s">
        <v>39</v>
      </c>
      <c r="M1199" s="217">
        <v>1</v>
      </c>
      <c r="N1199" s="208" t="s">
        <v>564</v>
      </c>
      <c r="O1199" s="246">
        <f>VLOOKUP(I1199,BM!$A$2:$X$104,23,FALSE)</f>
        <v>8</v>
      </c>
      <c r="P1199" s="208" t="s">
        <v>112</v>
      </c>
      <c r="Q1199" s="240">
        <f t="shared" ref="Q1199:Q1200" si="492">M1199*O1199</f>
        <v>8</v>
      </c>
      <c r="R1199" s="239">
        <v>1</v>
      </c>
      <c r="S1199" s="240">
        <f t="shared" si="481"/>
        <v>9</v>
      </c>
      <c r="T1199" s="216" t="s">
        <v>48</v>
      </c>
      <c r="U1199" s="196" t="str">
        <f t="shared" si="479"/>
        <v>9 Hrs</v>
      </c>
    </row>
    <row r="1200" spans="3:21" s="185" customFormat="1" ht="20.25" customHeight="1">
      <c r="C1200" s="198"/>
      <c r="D1200" s="203">
        <f t="shared" si="467"/>
        <v>1190</v>
      </c>
      <c r="E1200" s="207" t="s">
        <v>580</v>
      </c>
      <c r="F1200" s="211">
        <f t="shared" ref="F1200" si="493">D1199</f>
        <v>1189</v>
      </c>
      <c r="G1200" s="206" t="s">
        <v>63</v>
      </c>
      <c r="H1200" s="206"/>
      <c r="I1200" s="224" t="s">
        <v>581</v>
      </c>
      <c r="J1200" s="211" t="str">
        <f>J1190</f>
        <v>40NB</v>
      </c>
      <c r="K1200" s="234">
        <v>1</v>
      </c>
      <c r="L1200" s="208" t="s">
        <v>485</v>
      </c>
      <c r="M1200" s="217">
        <v>1</v>
      </c>
      <c r="N1200" s="208" t="s">
        <v>39</v>
      </c>
      <c r="O1200" s="218">
        <v>1</v>
      </c>
      <c r="P1200" s="208" t="s">
        <v>41</v>
      </c>
      <c r="Q1200" s="240">
        <f t="shared" si="492"/>
        <v>1</v>
      </c>
      <c r="R1200" s="239"/>
      <c r="S1200" s="240">
        <f t="shared" si="481"/>
        <v>1</v>
      </c>
      <c r="T1200" s="216" t="s">
        <v>48</v>
      </c>
      <c r="U1200" s="196" t="str">
        <f t="shared" si="479"/>
        <v>1 Hrs</v>
      </c>
    </row>
    <row r="1201" spans="3:21" s="185" customFormat="1" ht="20.25" customHeight="1">
      <c r="C1201" s="198">
        <f t="shared" ref="C1201:C1202" si="494">D1201</f>
        <v>1191</v>
      </c>
      <c r="D1201" s="203">
        <f t="shared" si="467"/>
        <v>1191</v>
      </c>
      <c r="E1201" s="247" t="s">
        <v>582</v>
      </c>
      <c r="F1201" s="210"/>
      <c r="G1201" s="206"/>
      <c r="H1201" s="206"/>
      <c r="I1201" s="208"/>
      <c r="J1201" s="208"/>
      <c r="K1201" s="234"/>
      <c r="L1201" s="208"/>
      <c r="M1201" s="217"/>
      <c r="N1201" s="208"/>
      <c r="O1201" s="218"/>
      <c r="P1201" s="208"/>
      <c r="Q1201" s="240"/>
      <c r="R1201" s="239"/>
      <c r="S1201" s="240"/>
      <c r="T1201" s="216"/>
      <c r="U1201" s="196"/>
    </row>
    <row r="1202" spans="3:21" s="185" customFormat="1" ht="20.25" customHeight="1">
      <c r="C1202" s="198">
        <f t="shared" si="494"/>
        <v>1192</v>
      </c>
      <c r="D1202" s="203">
        <f t="shared" si="467"/>
        <v>1192</v>
      </c>
      <c r="E1202" s="204" t="s">
        <v>583</v>
      </c>
      <c r="F1202" s="210">
        <f>13</f>
        <v>13</v>
      </c>
      <c r="G1202" s="206"/>
      <c r="H1202" s="206"/>
      <c r="I1202" s="208"/>
      <c r="J1202" s="208"/>
      <c r="K1202" s="234"/>
      <c r="L1202" s="208"/>
      <c r="M1202" s="217"/>
      <c r="N1202" s="208"/>
      <c r="O1202" s="218"/>
      <c r="P1202" s="208"/>
      <c r="Q1202" s="240"/>
      <c r="R1202" s="239"/>
      <c r="S1202" s="240"/>
      <c r="T1202" s="216"/>
      <c r="U1202" s="196"/>
    </row>
    <row r="1203" spans="3:21" s="185" customFormat="1" ht="20.25" customHeight="1">
      <c r="C1203" s="198"/>
      <c r="D1203" s="203">
        <f t="shared" si="467"/>
        <v>1193</v>
      </c>
      <c r="E1203" s="207" t="s">
        <v>584</v>
      </c>
      <c r="F1203" s="211"/>
      <c r="G1203" s="206" t="s">
        <v>37</v>
      </c>
      <c r="H1203" s="206"/>
      <c r="I1203" s="208"/>
      <c r="J1203" s="208"/>
      <c r="K1203" s="234">
        <v>1</v>
      </c>
      <c r="L1203" s="208" t="s">
        <v>39</v>
      </c>
      <c r="M1203" s="217">
        <v>1</v>
      </c>
      <c r="N1203" s="208"/>
      <c r="O1203" s="218">
        <v>4</v>
      </c>
      <c r="P1203" s="208" t="s">
        <v>41</v>
      </c>
      <c r="Q1203" s="240">
        <f t="shared" ref="Q1203:Q1207" si="495">M1203*O1203</f>
        <v>4</v>
      </c>
      <c r="R1203" s="239"/>
      <c r="S1203" s="240">
        <f t="shared" si="481"/>
        <v>4</v>
      </c>
      <c r="T1203" s="216" t="s">
        <v>42</v>
      </c>
      <c r="U1203" s="196" t="str">
        <f t="shared" si="479"/>
        <v>4 Days</v>
      </c>
    </row>
    <row r="1204" spans="3:21" s="185" customFormat="1" ht="20.25" customHeight="1">
      <c r="C1204" s="198"/>
      <c r="D1204" s="203">
        <f t="shared" si="467"/>
        <v>1194</v>
      </c>
      <c r="E1204" s="207" t="s">
        <v>585</v>
      </c>
      <c r="F1204" s="211">
        <f t="shared" ref="F1204:F1207" si="496">D1203</f>
        <v>1193</v>
      </c>
      <c r="G1204" s="206" t="s">
        <v>44</v>
      </c>
      <c r="H1204" s="206"/>
      <c r="I1204" s="224">
        <v>50</v>
      </c>
      <c r="J1204" s="234" t="s">
        <v>586</v>
      </c>
      <c r="K1204" s="234">
        <v>1</v>
      </c>
      <c r="L1204" s="208" t="s">
        <v>81</v>
      </c>
      <c r="M1204" s="227">
        <f>LEFT(J1204,SEARCH(" ",J1204,1)-1)*1.28*3.142/1000</f>
        <v>6.2337280000000002</v>
      </c>
      <c r="N1204" s="208" t="s">
        <v>139</v>
      </c>
      <c r="O1204" s="246">
        <f>VLOOKUP(I1204,BM!$A$2:$X$104,2,FALSE)</f>
        <v>0.1</v>
      </c>
      <c r="P1204" s="208" t="s">
        <v>112</v>
      </c>
      <c r="Q1204" s="240">
        <f t="shared" si="495"/>
        <v>0.62337280000000006</v>
      </c>
      <c r="R1204" s="239">
        <v>1</v>
      </c>
      <c r="S1204" s="240">
        <f t="shared" si="481"/>
        <v>1.62</v>
      </c>
      <c r="T1204" s="216" t="s">
        <v>48</v>
      </c>
      <c r="U1204" s="196" t="str">
        <f t="shared" si="479"/>
        <v>1.62 Hrs</v>
      </c>
    </row>
    <row r="1205" spans="3:21" s="185" customFormat="1" ht="20.25" customHeight="1">
      <c r="C1205" s="198"/>
      <c r="D1205" s="203">
        <f t="shared" si="467"/>
        <v>1195</v>
      </c>
      <c r="E1205" s="207" t="s">
        <v>587</v>
      </c>
      <c r="F1205" s="211">
        <f t="shared" si="496"/>
        <v>1194</v>
      </c>
      <c r="G1205" s="206" t="s">
        <v>44</v>
      </c>
      <c r="H1205" s="206"/>
      <c r="I1205" s="233">
        <v>50</v>
      </c>
      <c r="J1205" s="234" t="s">
        <v>586</v>
      </c>
      <c r="K1205" s="234">
        <v>1</v>
      </c>
      <c r="L1205" s="208" t="s">
        <v>81</v>
      </c>
      <c r="M1205" s="235">
        <v>1</v>
      </c>
      <c r="N1205" s="208" t="s">
        <v>81</v>
      </c>
      <c r="O1205" s="246">
        <v>1</v>
      </c>
      <c r="P1205" s="208" t="s">
        <v>162</v>
      </c>
      <c r="Q1205" s="240">
        <f t="shared" si="495"/>
        <v>1</v>
      </c>
      <c r="R1205" s="239">
        <v>1</v>
      </c>
      <c r="S1205" s="240">
        <f t="shared" si="481"/>
        <v>2</v>
      </c>
      <c r="T1205" s="216" t="s">
        <v>48</v>
      </c>
      <c r="U1205" s="196" t="str">
        <f t="shared" si="479"/>
        <v>2 Hrs</v>
      </c>
    </row>
    <row r="1206" spans="3:21" s="185" customFormat="1" ht="20.25" customHeight="1">
      <c r="C1206" s="198"/>
      <c r="D1206" s="203">
        <f t="shared" si="467"/>
        <v>1196</v>
      </c>
      <c r="E1206" s="207" t="s">
        <v>588</v>
      </c>
      <c r="F1206" s="211">
        <f t="shared" si="496"/>
        <v>1195</v>
      </c>
      <c r="G1206" s="206" t="s">
        <v>52</v>
      </c>
      <c r="H1206" s="206"/>
      <c r="I1206" s="233">
        <v>50</v>
      </c>
      <c r="J1206" s="234" t="s">
        <v>586</v>
      </c>
      <c r="K1206" s="234">
        <v>1</v>
      </c>
      <c r="L1206" s="208" t="s">
        <v>81</v>
      </c>
      <c r="M1206" s="227">
        <f>LEFT(J1206,SEARCH(" ",J1206,1)-1)*1.28*3.142/1000</f>
        <v>6.2337280000000002</v>
      </c>
      <c r="N1206" s="208" t="s">
        <v>139</v>
      </c>
      <c r="O1206" s="246">
        <f>VLOOKUP(I1206,BM!$A$2:$X$104,3,FALSE)</f>
        <v>0.25</v>
      </c>
      <c r="P1206" s="208" t="s">
        <v>112</v>
      </c>
      <c r="Q1206" s="240">
        <f t="shared" si="495"/>
        <v>1.558432</v>
      </c>
      <c r="R1206" s="239">
        <v>1</v>
      </c>
      <c r="S1206" s="240">
        <f t="shared" si="481"/>
        <v>2.56</v>
      </c>
      <c r="T1206" s="216" t="s">
        <v>48</v>
      </c>
      <c r="U1206" s="196" t="str">
        <f t="shared" si="479"/>
        <v>2.56 Hrs</v>
      </c>
    </row>
    <row r="1207" spans="3:21" s="185" customFormat="1" ht="20.25" customHeight="1">
      <c r="C1207" s="198"/>
      <c r="D1207" s="203">
        <f t="shared" si="467"/>
        <v>1197</v>
      </c>
      <c r="E1207" s="207" t="s">
        <v>589</v>
      </c>
      <c r="F1207" s="211">
        <f t="shared" si="496"/>
        <v>1196</v>
      </c>
      <c r="G1207" s="206" t="s">
        <v>61</v>
      </c>
      <c r="H1207" s="206"/>
      <c r="I1207" s="233">
        <f>I1204</f>
        <v>50</v>
      </c>
      <c r="J1207" s="234" t="s">
        <v>586</v>
      </c>
      <c r="K1207" s="234">
        <v>1</v>
      </c>
      <c r="L1207" s="208" t="s">
        <v>81</v>
      </c>
      <c r="M1207" s="227">
        <f>LEFT(J1207,SEARCH(" ",J1207,1)-1)*1.28*3.142/1000</f>
        <v>6.2337280000000002</v>
      </c>
      <c r="N1207" s="208" t="s">
        <v>139</v>
      </c>
      <c r="O1207" s="246">
        <f>VLOOKUP(I1207,BM!$A$2:$X$104,6,FALSE)</f>
        <v>1</v>
      </c>
      <c r="P1207" s="208" t="s">
        <v>112</v>
      </c>
      <c r="Q1207" s="240">
        <f t="shared" si="495"/>
        <v>6.2337280000000002</v>
      </c>
      <c r="R1207" s="239">
        <v>1</v>
      </c>
      <c r="S1207" s="240">
        <f t="shared" si="481"/>
        <v>7.23</v>
      </c>
      <c r="T1207" s="216" t="s">
        <v>48</v>
      </c>
      <c r="U1207" s="196" t="str">
        <f t="shared" si="479"/>
        <v>7.23 Hrs</v>
      </c>
    </row>
    <row r="1208" spans="3:21" s="185" customFormat="1" ht="20.25" customHeight="1">
      <c r="C1208" s="198">
        <f>D1208</f>
        <v>1198</v>
      </c>
      <c r="D1208" s="203">
        <f t="shared" si="467"/>
        <v>1198</v>
      </c>
      <c r="E1208" s="204" t="s">
        <v>590</v>
      </c>
      <c r="F1208" s="210">
        <f>D1202</f>
        <v>1192</v>
      </c>
      <c r="G1208" s="206"/>
      <c r="H1208" s="206"/>
      <c r="I1208" s="208"/>
      <c r="J1208" s="208"/>
      <c r="K1208" s="234"/>
      <c r="L1208" s="208"/>
      <c r="M1208" s="217"/>
      <c r="N1208" s="208"/>
      <c r="O1208" s="218"/>
      <c r="P1208" s="208"/>
      <c r="Q1208" s="240"/>
      <c r="R1208" s="239"/>
      <c r="S1208" s="240"/>
      <c r="T1208" s="216"/>
      <c r="U1208" s="196"/>
    </row>
    <row r="1209" spans="3:21" s="185" customFormat="1" ht="20.25" customHeight="1">
      <c r="C1209" s="198"/>
      <c r="D1209" s="203">
        <f t="shared" si="467"/>
        <v>1199</v>
      </c>
      <c r="E1209" s="207" t="s">
        <v>591</v>
      </c>
      <c r="F1209" s="211">
        <f t="shared" ref="F1209:F1210" si="497">D1208</f>
        <v>1198</v>
      </c>
      <c r="G1209" s="206" t="s">
        <v>55</v>
      </c>
      <c r="H1209" s="206"/>
      <c r="I1209" s="233">
        <f>I1207</f>
        <v>50</v>
      </c>
      <c r="J1209" s="234" t="str">
        <f>J1206</f>
        <v>1550 mm id</v>
      </c>
      <c r="K1209" s="234">
        <v>1</v>
      </c>
      <c r="L1209" s="208" t="s">
        <v>81</v>
      </c>
      <c r="M1209" s="217">
        <v>1</v>
      </c>
      <c r="N1209" s="208" t="s">
        <v>39</v>
      </c>
      <c r="O1209" s="218">
        <v>10</v>
      </c>
      <c r="P1209" s="208" t="s">
        <v>41</v>
      </c>
      <c r="Q1209" s="240">
        <f t="shared" ref="Q1209:Q1210" si="498">M1209*O1209</f>
        <v>10</v>
      </c>
      <c r="R1209" s="239"/>
      <c r="S1209" s="240">
        <f t="shared" si="481"/>
        <v>10</v>
      </c>
      <c r="T1209" s="216" t="s">
        <v>42</v>
      </c>
      <c r="U1209" s="196" t="str">
        <f t="shared" si="479"/>
        <v>10 Days</v>
      </c>
    </row>
    <row r="1210" spans="3:21" s="185" customFormat="1" ht="20.25" customHeight="1">
      <c r="C1210" s="198"/>
      <c r="D1210" s="203">
        <f t="shared" si="467"/>
        <v>1200</v>
      </c>
      <c r="E1210" s="207" t="s">
        <v>592</v>
      </c>
      <c r="F1210" s="211">
        <f t="shared" si="497"/>
        <v>1199</v>
      </c>
      <c r="G1210" s="206" t="s">
        <v>44</v>
      </c>
      <c r="H1210" s="206"/>
      <c r="I1210" s="233">
        <f>I1207</f>
        <v>50</v>
      </c>
      <c r="J1210" s="234" t="str">
        <f>J1207</f>
        <v>1550 mm id</v>
      </c>
      <c r="K1210" s="234">
        <v>1</v>
      </c>
      <c r="L1210" s="208" t="s">
        <v>81</v>
      </c>
      <c r="M1210" s="217">
        <v>1</v>
      </c>
      <c r="N1210" s="208" t="s">
        <v>39</v>
      </c>
      <c r="O1210" s="218">
        <v>1</v>
      </c>
      <c r="P1210" s="208" t="s">
        <v>41</v>
      </c>
      <c r="Q1210" s="240">
        <f t="shared" si="498"/>
        <v>1</v>
      </c>
      <c r="R1210" s="239"/>
      <c r="S1210" s="240">
        <f t="shared" si="481"/>
        <v>1</v>
      </c>
      <c r="T1210" s="216" t="s">
        <v>42</v>
      </c>
      <c r="U1210" s="196" t="str">
        <f t="shared" si="479"/>
        <v>1 Days</v>
      </c>
    </row>
    <row r="1211" spans="3:21" s="185" customFormat="1" ht="20.25" customHeight="1">
      <c r="C1211" s="198">
        <f>D1211</f>
        <v>1201</v>
      </c>
      <c r="D1211" s="203">
        <f t="shared" si="467"/>
        <v>1201</v>
      </c>
      <c r="E1211" s="204" t="s">
        <v>593</v>
      </c>
      <c r="F1211" s="210">
        <f>D1208</f>
        <v>1198</v>
      </c>
      <c r="G1211" s="206"/>
      <c r="H1211" s="206"/>
      <c r="I1211" s="208"/>
      <c r="J1211" s="208"/>
      <c r="K1211" s="234"/>
      <c r="L1211" s="208"/>
      <c r="M1211" s="217"/>
      <c r="N1211" s="208"/>
      <c r="O1211" s="218"/>
      <c r="P1211" s="208"/>
      <c r="Q1211" s="240"/>
      <c r="R1211" s="239"/>
      <c r="S1211" s="240"/>
      <c r="T1211" s="216"/>
      <c r="U1211" s="196"/>
    </row>
    <row r="1212" spans="3:21" s="185" customFormat="1" ht="20.25" customHeight="1">
      <c r="C1212" s="198"/>
      <c r="D1212" s="203">
        <f t="shared" si="467"/>
        <v>1202</v>
      </c>
      <c r="E1212" s="207" t="s">
        <v>594</v>
      </c>
      <c r="F1212" s="211">
        <f t="shared" ref="F1212:F1213" si="499">D1211</f>
        <v>1201</v>
      </c>
      <c r="G1212" s="206" t="s">
        <v>44</v>
      </c>
      <c r="H1212" s="206"/>
      <c r="I1212" s="233">
        <f>I1210</f>
        <v>50</v>
      </c>
      <c r="J1212" s="234" t="str">
        <f>J1210</f>
        <v>1550 mm id</v>
      </c>
      <c r="K1212" s="234">
        <v>1</v>
      </c>
      <c r="L1212" s="208" t="s">
        <v>81</v>
      </c>
      <c r="M1212" s="217">
        <v>1</v>
      </c>
      <c r="N1212" s="208" t="s">
        <v>39</v>
      </c>
      <c r="O1212" s="218">
        <v>4</v>
      </c>
      <c r="P1212" s="208" t="s">
        <v>595</v>
      </c>
      <c r="Q1212" s="240">
        <f t="shared" ref="Q1212:Q1213" si="500">M1212*O1212</f>
        <v>4</v>
      </c>
      <c r="R1212" s="239"/>
      <c r="S1212" s="240">
        <f t="shared" si="481"/>
        <v>4</v>
      </c>
      <c r="T1212" s="216" t="s">
        <v>48</v>
      </c>
      <c r="U1212" s="196" t="str">
        <f t="shared" si="479"/>
        <v>4 Hrs</v>
      </c>
    </row>
    <row r="1213" spans="3:21" s="185" customFormat="1" ht="20.25" customHeight="1">
      <c r="C1213" s="198"/>
      <c r="D1213" s="203">
        <f t="shared" si="467"/>
        <v>1203</v>
      </c>
      <c r="E1213" s="207" t="s">
        <v>593</v>
      </c>
      <c r="F1213" s="211">
        <f t="shared" si="499"/>
        <v>1202</v>
      </c>
      <c r="G1213" s="206" t="s">
        <v>52</v>
      </c>
      <c r="H1213" s="206"/>
      <c r="I1213" s="233">
        <f>I1210</f>
        <v>50</v>
      </c>
      <c r="J1213" s="234" t="str">
        <f>J1210</f>
        <v>1550 mm id</v>
      </c>
      <c r="K1213" s="234">
        <v>1</v>
      </c>
      <c r="L1213" s="208" t="s">
        <v>81</v>
      </c>
      <c r="M1213" s="227">
        <f>LEFT(J1213,SEARCH(" ",J1213,1)-1)*1.28*3.142/1000</f>
        <v>6.2337280000000002</v>
      </c>
      <c r="N1213" s="208" t="s">
        <v>249</v>
      </c>
      <c r="O1213" s="246">
        <f>VLOOKUP(I1213,BM!$A$2:$X$104,2,FALSE)</f>
        <v>0.1</v>
      </c>
      <c r="P1213" s="208" t="s">
        <v>112</v>
      </c>
      <c r="Q1213" s="240">
        <f t="shared" si="500"/>
        <v>0.62337280000000006</v>
      </c>
      <c r="R1213" s="239">
        <v>2</v>
      </c>
      <c r="S1213" s="240">
        <f t="shared" si="481"/>
        <v>2.62</v>
      </c>
      <c r="T1213" s="216" t="s">
        <v>48</v>
      </c>
      <c r="U1213" s="196" t="str">
        <f t="shared" si="479"/>
        <v>2.62 Hrs</v>
      </c>
    </row>
    <row r="1214" spans="3:21" s="185" customFormat="1" ht="20.25" customHeight="1">
      <c r="C1214" s="198">
        <f>D1214</f>
        <v>1204</v>
      </c>
      <c r="D1214" s="203">
        <f t="shared" si="467"/>
        <v>1204</v>
      </c>
      <c r="E1214" s="204" t="s">
        <v>596</v>
      </c>
      <c r="F1214" s="210">
        <f>D1211</f>
        <v>1201</v>
      </c>
      <c r="G1214" s="206"/>
      <c r="H1214" s="206"/>
      <c r="I1214" s="208"/>
      <c r="J1214" s="208"/>
      <c r="K1214" s="234"/>
      <c r="L1214" s="208"/>
      <c r="M1214" s="217"/>
      <c r="N1214" s="208"/>
      <c r="O1214" s="218"/>
      <c r="P1214" s="208"/>
      <c r="Q1214" s="240"/>
      <c r="R1214" s="239"/>
      <c r="S1214" s="240"/>
      <c r="T1214" s="216"/>
      <c r="U1214" s="196"/>
    </row>
    <row r="1215" spans="3:21" s="185" customFormat="1" ht="20.25" customHeight="1">
      <c r="C1215" s="198"/>
      <c r="D1215" s="203">
        <f t="shared" si="467"/>
        <v>1205</v>
      </c>
      <c r="E1215" s="207" t="s">
        <v>597</v>
      </c>
      <c r="F1215" s="211">
        <f t="shared" ref="F1215" si="501">D1214</f>
        <v>1204</v>
      </c>
      <c r="G1215" s="206" t="s">
        <v>121</v>
      </c>
      <c r="H1215" s="206"/>
      <c r="I1215" s="233">
        <v>25</v>
      </c>
      <c r="J1215" s="234" t="str">
        <f>J1213</f>
        <v>1550 mm id</v>
      </c>
      <c r="K1215" s="234">
        <v>1</v>
      </c>
      <c r="L1215" s="208" t="s">
        <v>81</v>
      </c>
      <c r="M1215" s="227">
        <f>LEFT(J1215,SEARCH(" ",J1215,1)-1)*1.28*3.142/1000</f>
        <v>6.2337280000000002</v>
      </c>
      <c r="N1215" s="208" t="s">
        <v>249</v>
      </c>
      <c r="O1215" s="246">
        <f>VLOOKUP(I1215,BM!$A$2:$X$104,6,FALSE)</f>
        <v>1</v>
      </c>
      <c r="P1215" s="208" t="s">
        <v>112</v>
      </c>
      <c r="Q1215" s="240">
        <f t="shared" ref="Q1215" si="502">M1215*O1215</f>
        <v>6.2337280000000002</v>
      </c>
      <c r="R1215" s="239">
        <v>2</v>
      </c>
      <c r="S1215" s="240">
        <f t="shared" si="481"/>
        <v>8.23</v>
      </c>
      <c r="T1215" s="216" t="s">
        <v>48</v>
      </c>
      <c r="U1215" s="196" t="str">
        <f t="shared" si="479"/>
        <v>8.23 Hrs</v>
      </c>
    </row>
    <row r="1216" spans="3:21" s="185" customFormat="1" ht="20.25" customHeight="1">
      <c r="C1216" s="198">
        <f>D1216</f>
        <v>1206</v>
      </c>
      <c r="D1216" s="203">
        <f t="shared" si="467"/>
        <v>1206</v>
      </c>
      <c r="E1216" s="204" t="s">
        <v>598</v>
      </c>
      <c r="F1216" s="210"/>
      <c r="G1216" s="206"/>
      <c r="H1216" s="206"/>
      <c r="I1216" s="208"/>
      <c r="J1216" s="208"/>
      <c r="K1216" s="234"/>
      <c r="L1216" s="208"/>
      <c r="M1216" s="217"/>
      <c r="N1216" s="208"/>
      <c r="O1216" s="218"/>
      <c r="P1216" s="208"/>
      <c r="Q1216" s="240"/>
      <c r="R1216" s="239"/>
      <c r="S1216" s="240"/>
      <c r="T1216" s="216"/>
      <c r="U1216" s="196"/>
    </row>
    <row r="1217" spans="3:21" s="185" customFormat="1" ht="20.25" customHeight="1">
      <c r="C1217" s="198"/>
      <c r="D1217" s="203">
        <f t="shared" si="467"/>
        <v>1207</v>
      </c>
      <c r="E1217" s="207" t="s">
        <v>598</v>
      </c>
      <c r="F1217" s="211">
        <f t="shared" ref="F1217" si="503">D1216</f>
        <v>1206</v>
      </c>
      <c r="G1217" s="206" t="s">
        <v>111</v>
      </c>
      <c r="H1217" s="206"/>
      <c r="I1217" s="233">
        <f>I1215</f>
        <v>25</v>
      </c>
      <c r="J1217" s="234" t="str">
        <f>J1215</f>
        <v>1550 mm id</v>
      </c>
      <c r="K1217" s="234">
        <v>1</v>
      </c>
      <c r="L1217" s="208" t="s">
        <v>81</v>
      </c>
      <c r="M1217" s="227">
        <f>LEFT(J1217,SEARCH(" ",J1217,1)-1)*1.28*3.142/1000</f>
        <v>6.2337280000000002</v>
      </c>
      <c r="N1217" s="208" t="s">
        <v>249</v>
      </c>
      <c r="O1217" s="246">
        <f>VLOOKUP(I1217,BM!$A$2:$X$104,15,FALSE)</f>
        <v>1</v>
      </c>
      <c r="P1217" s="208" t="s">
        <v>112</v>
      </c>
      <c r="Q1217" s="240">
        <f t="shared" ref="Q1217" si="504">M1217*O1217</f>
        <v>6.2337280000000002</v>
      </c>
      <c r="R1217" s="239">
        <v>2</v>
      </c>
      <c r="S1217" s="240">
        <f t="shared" si="481"/>
        <v>8.23</v>
      </c>
      <c r="T1217" s="216" t="s">
        <v>48</v>
      </c>
      <c r="U1217" s="196" t="str">
        <f t="shared" si="479"/>
        <v>8.23 Hrs</v>
      </c>
    </row>
    <row r="1218" spans="3:21" s="185" customFormat="1" ht="20.25" customHeight="1">
      <c r="C1218" s="198">
        <f>D1218</f>
        <v>1208</v>
      </c>
      <c r="D1218" s="203">
        <f t="shared" si="467"/>
        <v>1208</v>
      </c>
      <c r="E1218" s="204" t="s">
        <v>599</v>
      </c>
      <c r="F1218" s="210">
        <f>D1216</f>
        <v>1206</v>
      </c>
      <c r="G1218" s="206"/>
      <c r="H1218" s="206"/>
      <c r="I1218" s="208"/>
      <c r="J1218" s="208"/>
      <c r="K1218" s="234"/>
      <c r="L1218" s="208"/>
      <c r="M1218" s="217"/>
      <c r="N1218" s="208"/>
      <c r="O1218" s="218"/>
      <c r="P1218" s="208"/>
      <c r="Q1218" s="240"/>
      <c r="R1218" s="239"/>
      <c r="S1218" s="240"/>
      <c r="T1218" s="216"/>
      <c r="U1218" s="196"/>
    </row>
    <row r="1219" spans="3:21" s="185" customFormat="1" ht="20.25" customHeight="1">
      <c r="C1219" s="198"/>
      <c r="D1219" s="203">
        <f t="shared" si="467"/>
        <v>1209</v>
      </c>
      <c r="E1219" s="207" t="s">
        <v>599</v>
      </c>
      <c r="F1219" s="211"/>
      <c r="G1219" s="206" t="s">
        <v>115</v>
      </c>
      <c r="H1219" s="206"/>
      <c r="I1219" s="224">
        <v>30</v>
      </c>
      <c r="J1219" s="234" t="str">
        <f>J1217</f>
        <v>1550 mm id</v>
      </c>
      <c r="K1219" s="234">
        <v>1</v>
      </c>
      <c r="L1219" s="208" t="s">
        <v>81</v>
      </c>
      <c r="M1219" s="227">
        <f>LEFT(J1219,SEARCH(" ",J1219,1)-1)*1.28*3.142/1000</f>
        <v>6.2337280000000002</v>
      </c>
      <c r="N1219" s="208" t="s">
        <v>249</v>
      </c>
      <c r="O1219" s="246">
        <f>VLOOKUP(I1219,BM!$A$2:$X$104,23,FALSE)</f>
        <v>16.8</v>
      </c>
      <c r="P1219" s="208" t="s">
        <v>112</v>
      </c>
      <c r="Q1219" s="240">
        <f t="shared" ref="Q1219:Q1223" si="505">M1219*O1219</f>
        <v>104.7266304</v>
      </c>
      <c r="R1219" s="239">
        <v>2</v>
      </c>
      <c r="S1219" s="240">
        <f t="shared" si="481"/>
        <v>106.73</v>
      </c>
      <c r="T1219" s="216" t="s">
        <v>48</v>
      </c>
      <c r="U1219" s="196" t="str">
        <f t="shared" si="479"/>
        <v>106.73 Hrs</v>
      </c>
    </row>
    <row r="1220" spans="3:21" s="185" customFormat="1" ht="20.25" customHeight="1">
      <c r="C1220" s="198"/>
      <c r="D1220" s="203">
        <f t="shared" si="467"/>
        <v>1210</v>
      </c>
      <c r="E1220" s="207" t="s">
        <v>600</v>
      </c>
      <c r="F1220" s="211">
        <f t="shared" ref="F1220:F1223" si="506">D1219</f>
        <v>1209</v>
      </c>
      <c r="G1220" s="206" t="s">
        <v>299</v>
      </c>
      <c r="H1220" s="206"/>
      <c r="I1220" s="224">
        <v>16</v>
      </c>
      <c r="J1220" s="208" t="str">
        <f>J1219</f>
        <v>1550 mm id</v>
      </c>
      <c r="K1220" s="234">
        <v>1</v>
      </c>
      <c r="L1220" s="208" t="s">
        <v>81</v>
      </c>
      <c r="M1220" s="217">
        <v>1</v>
      </c>
      <c r="N1220" s="208" t="s">
        <v>39</v>
      </c>
      <c r="O1220" s="218">
        <v>4</v>
      </c>
      <c r="P1220" s="208" t="s">
        <v>112</v>
      </c>
      <c r="Q1220" s="240">
        <f t="shared" si="505"/>
        <v>4</v>
      </c>
      <c r="R1220" s="239">
        <v>1</v>
      </c>
      <c r="S1220" s="240">
        <f t="shared" si="481"/>
        <v>5</v>
      </c>
      <c r="T1220" s="216" t="s">
        <v>48</v>
      </c>
      <c r="U1220" s="196" t="str">
        <f t="shared" si="479"/>
        <v>5 Hrs</v>
      </c>
    </row>
    <row r="1221" spans="3:21" s="185" customFormat="1" ht="20.25" customHeight="1">
      <c r="C1221" s="198"/>
      <c r="D1221" s="203">
        <f t="shared" si="467"/>
        <v>1211</v>
      </c>
      <c r="E1221" s="207" t="s">
        <v>601</v>
      </c>
      <c r="F1221" s="211">
        <f t="shared" si="506"/>
        <v>1210</v>
      </c>
      <c r="G1221" s="206" t="s">
        <v>115</v>
      </c>
      <c r="H1221" s="206"/>
      <c r="I1221" s="224">
        <v>16</v>
      </c>
      <c r="J1221" s="234" t="s">
        <v>602</v>
      </c>
      <c r="K1221" s="234">
        <v>1</v>
      </c>
      <c r="L1221" s="208" t="s">
        <v>81</v>
      </c>
      <c r="M1221" s="227">
        <f>LEFT(J1221,SEARCH(" ",J1221,1)-1)/1000</f>
        <v>3</v>
      </c>
      <c r="N1221" s="208" t="s">
        <v>249</v>
      </c>
      <c r="O1221" s="246">
        <f>VLOOKUP(I1221,BM!$A$2:$X$104,22,FALSE)</f>
        <v>2.8</v>
      </c>
      <c r="P1221" s="208" t="s">
        <v>112</v>
      </c>
      <c r="Q1221" s="240">
        <f t="shared" si="505"/>
        <v>8.3999999999999986</v>
      </c>
      <c r="R1221" s="239">
        <v>2</v>
      </c>
      <c r="S1221" s="240">
        <f t="shared" si="481"/>
        <v>10.4</v>
      </c>
      <c r="T1221" s="216" t="s">
        <v>48</v>
      </c>
      <c r="U1221" s="196" t="str">
        <f t="shared" si="479"/>
        <v>10.4 Hrs</v>
      </c>
    </row>
    <row r="1222" spans="3:21" s="185" customFormat="1" ht="20.25" customHeight="1">
      <c r="C1222" s="198"/>
      <c r="D1222" s="203">
        <f t="shared" si="467"/>
        <v>1212</v>
      </c>
      <c r="E1222" s="207" t="s">
        <v>603</v>
      </c>
      <c r="F1222" s="211">
        <f t="shared" si="506"/>
        <v>1211</v>
      </c>
      <c r="G1222" s="206" t="s">
        <v>44</v>
      </c>
      <c r="H1222" s="206"/>
      <c r="I1222" s="224">
        <v>16</v>
      </c>
      <c r="J1222" s="208" t="str">
        <f>J1221</f>
        <v>3000 mm</v>
      </c>
      <c r="K1222" s="234">
        <v>1</v>
      </c>
      <c r="L1222" s="208" t="s">
        <v>81</v>
      </c>
      <c r="M1222" s="217">
        <v>1</v>
      </c>
      <c r="N1222" s="208" t="s">
        <v>39</v>
      </c>
      <c r="O1222" s="218">
        <v>6</v>
      </c>
      <c r="P1222" s="208" t="s">
        <v>112</v>
      </c>
      <c r="Q1222" s="240">
        <f t="shared" si="505"/>
        <v>6</v>
      </c>
      <c r="R1222" s="239">
        <v>1</v>
      </c>
      <c r="S1222" s="240">
        <f t="shared" si="481"/>
        <v>7</v>
      </c>
      <c r="T1222" s="216" t="s">
        <v>48</v>
      </c>
      <c r="U1222" s="196" t="str">
        <f t="shared" si="479"/>
        <v>7 Hrs</v>
      </c>
    </row>
    <row r="1223" spans="3:21" s="185" customFormat="1" ht="20.25" customHeight="1">
      <c r="C1223" s="198"/>
      <c r="D1223" s="203">
        <f t="shared" si="467"/>
        <v>1213</v>
      </c>
      <c r="E1223" s="207" t="s">
        <v>604</v>
      </c>
      <c r="F1223" s="211">
        <f t="shared" si="506"/>
        <v>1212</v>
      </c>
      <c r="G1223" s="206" t="s">
        <v>63</v>
      </c>
      <c r="H1223" s="206"/>
      <c r="I1223" s="224">
        <v>16</v>
      </c>
      <c r="J1223" s="208" t="str">
        <f>J1222</f>
        <v>3000 mm</v>
      </c>
      <c r="K1223" s="234">
        <v>1</v>
      </c>
      <c r="L1223" s="208" t="s">
        <v>81</v>
      </c>
      <c r="M1223" s="217">
        <v>1</v>
      </c>
      <c r="N1223" s="208" t="s">
        <v>39</v>
      </c>
      <c r="O1223" s="218">
        <v>1</v>
      </c>
      <c r="P1223" s="208" t="s">
        <v>112</v>
      </c>
      <c r="Q1223" s="240">
        <f t="shared" si="505"/>
        <v>1</v>
      </c>
      <c r="R1223" s="239">
        <v>1</v>
      </c>
      <c r="S1223" s="240">
        <f t="shared" si="481"/>
        <v>2</v>
      </c>
      <c r="T1223" s="216" t="s">
        <v>48</v>
      </c>
      <c r="U1223" s="196" t="str">
        <f t="shared" si="479"/>
        <v>2 Hrs</v>
      </c>
    </row>
    <row r="1224" spans="3:21" s="185" customFormat="1" ht="20.25" customHeight="1">
      <c r="C1224" s="198">
        <f>D1224</f>
        <v>1214</v>
      </c>
      <c r="D1224" s="203">
        <f t="shared" si="467"/>
        <v>1214</v>
      </c>
      <c r="E1224" s="204" t="s">
        <v>605</v>
      </c>
      <c r="F1224" s="210">
        <f>D1218</f>
        <v>1208</v>
      </c>
      <c r="G1224" s="206"/>
      <c r="H1224" s="206"/>
      <c r="I1224" s="208"/>
      <c r="J1224" s="208"/>
      <c r="K1224" s="234"/>
      <c r="L1224" s="208"/>
      <c r="M1224" s="217"/>
      <c r="N1224" s="208"/>
      <c r="O1224" s="218"/>
      <c r="P1224" s="208"/>
      <c r="Q1224" s="240"/>
      <c r="R1224" s="239"/>
      <c r="S1224" s="240"/>
      <c r="T1224" s="216"/>
      <c r="U1224" s="196"/>
    </row>
    <row r="1225" spans="3:21" s="185" customFormat="1" ht="20.25" customHeight="1">
      <c r="C1225" s="198"/>
      <c r="D1225" s="203">
        <f t="shared" si="467"/>
        <v>1215</v>
      </c>
      <c r="E1225" s="207" t="s">
        <v>606</v>
      </c>
      <c r="F1225" s="211"/>
      <c r="G1225" s="206" t="s">
        <v>55</v>
      </c>
      <c r="H1225" s="206"/>
      <c r="I1225" s="208"/>
      <c r="J1225" s="234" t="str">
        <f>J1220</f>
        <v>1550 mm id</v>
      </c>
      <c r="K1225" s="234">
        <v>1</v>
      </c>
      <c r="L1225" s="208" t="s">
        <v>81</v>
      </c>
      <c r="M1225" s="217">
        <v>1</v>
      </c>
      <c r="N1225" s="208" t="s">
        <v>39</v>
      </c>
      <c r="O1225" s="218">
        <v>3</v>
      </c>
      <c r="P1225" s="208" t="s">
        <v>41</v>
      </c>
      <c r="Q1225" s="240">
        <f t="shared" ref="Q1225:Q1229" si="507">M1225*O1225</f>
        <v>3</v>
      </c>
      <c r="R1225" s="239">
        <v>0</v>
      </c>
      <c r="S1225" s="240">
        <f t="shared" si="481"/>
        <v>3</v>
      </c>
      <c r="T1225" s="216" t="s">
        <v>48</v>
      </c>
      <c r="U1225" s="196" t="str">
        <f t="shared" si="479"/>
        <v>3 Hrs</v>
      </c>
    </row>
    <row r="1226" spans="3:21" s="185" customFormat="1" ht="20.25" customHeight="1">
      <c r="C1226" s="198"/>
      <c r="D1226" s="203">
        <f t="shared" si="467"/>
        <v>1216</v>
      </c>
      <c r="E1226" s="207" t="s">
        <v>607</v>
      </c>
      <c r="F1226" s="211">
        <f t="shared" ref="F1226:F1229" si="508">D1225</f>
        <v>1215</v>
      </c>
      <c r="G1226" s="206" t="s">
        <v>55</v>
      </c>
      <c r="H1226" s="206"/>
      <c r="I1226" s="208"/>
      <c r="J1226" s="234" t="str">
        <f>J1225</f>
        <v>1550 mm id</v>
      </c>
      <c r="K1226" s="234">
        <v>1</v>
      </c>
      <c r="L1226" s="208" t="s">
        <v>81</v>
      </c>
      <c r="M1226" s="217">
        <v>1</v>
      </c>
      <c r="N1226" s="208" t="s">
        <v>39</v>
      </c>
      <c r="O1226" s="218">
        <v>4</v>
      </c>
      <c r="P1226" s="208" t="s">
        <v>41</v>
      </c>
      <c r="Q1226" s="240">
        <f t="shared" si="507"/>
        <v>4</v>
      </c>
      <c r="R1226" s="239">
        <v>0</v>
      </c>
      <c r="S1226" s="240">
        <f t="shared" si="481"/>
        <v>4</v>
      </c>
      <c r="T1226" s="216" t="s">
        <v>48</v>
      </c>
      <c r="U1226" s="196" t="str">
        <f t="shared" si="479"/>
        <v>4 Hrs</v>
      </c>
    </row>
    <row r="1227" spans="3:21" s="185" customFormat="1" ht="20.25" customHeight="1">
      <c r="C1227" s="198"/>
      <c r="D1227" s="203">
        <f t="shared" si="467"/>
        <v>1217</v>
      </c>
      <c r="E1227" s="207" t="s">
        <v>608</v>
      </c>
      <c r="F1227" s="211">
        <f t="shared" si="508"/>
        <v>1216</v>
      </c>
      <c r="G1227" s="206" t="s">
        <v>44</v>
      </c>
      <c r="H1227" s="206"/>
      <c r="I1227" s="208"/>
      <c r="J1227" s="234" t="str">
        <f>J1226</f>
        <v>1550 mm id</v>
      </c>
      <c r="K1227" s="234">
        <v>1</v>
      </c>
      <c r="L1227" s="208" t="s">
        <v>81</v>
      </c>
      <c r="M1227" s="217">
        <v>1</v>
      </c>
      <c r="N1227" s="208" t="s">
        <v>39</v>
      </c>
      <c r="O1227" s="218">
        <v>0.5</v>
      </c>
      <c r="P1227" s="208" t="s">
        <v>41</v>
      </c>
      <c r="Q1227" s="240">
        <f t="shared" si="507"/>
        <v>0.5</v>
      </c>
      <c r="R1227" s="239">
        <v>0</v>
      </c>
      <c r="S1227" s="240">
        <f t="shared" si="481"/>
        <v>0.5</v>
      </c>
      <c r="T1227" s="216" t="s">
        <v>48</v>
      </c>
      <c r="U1227" s="196" t="str">
        <f t="shared" si="479"/>
        <v>0.5 Hrs</v>
      </c>
    </row>
    <row r="1228" spans="3:21" s="185" customFormat="1" ht="20.25" customHeight="1">
      <c r="C1228" s="198"/>
      <c r="D1228" s="203">
        <f t="shared" si="467"/>
        <v>1218</v>
      </c>
      <c r="E1228" s="207" t="s">
        <v>609</v>
      </c>
      <c r="F1228" s="211">
        <f t="shared" si="508"/>
        <v>1217</v>
      </c>
      <c r="G1228" s="206" t="s">
        <v>55</v>
      </c>
      <c r="H1228" s="206"/>
      <c r="I1228" s="224" t="s">
        <v>610</v>
      </c>
      <c r="J1228" s="208" t="str">
        <f>J1227</f>
        <v>1550 mm id</v>
      </c>
      <c r="K1228" s="234">
        <v>72</v>
      </c>
      <c r="L1228" s="208" t="s">
        <v>611</v>
      </c>
      <c r="M1228" s="217">
        <v>1</v>
      </c>
      <c r="N1228" s="208" t="s">
        <v>39</v>
      </c>
      <c r="O1228" s="218">
        <v>4</v>
      </c>
      <c r="P1228" s="208" t="s">
        <v>41</v>
      </c>
      <c r="Q1228" s="240">
        <f t="shared" si="507"/>
        <v>4</v>
      </c>
      <c r="R1228" s="239">
        <v>0</v>
      </c>
      <c r="S1228" s="240">
        <f t="shared" si="481"/>
        <v>4</v>
      </c>
      <c r="T1228" s="216" t="s">
        <v>48</v>
      </c>
      <c r="U1228" s="196" t="str">
        <f t="shared" si="479"/>
        <v>4 Hrs</v>
      </c>
    </row>
    <row r="1229" spans="3:21" s="185" customFormat="1" ht="20.25" customHeight="1">
      <c r="C1229" s="198"/>
      <c r="D1229" s="203">
        <f t="shared" ref="D1229:D1270" si="509">D1228+1</f>
        <v>1219</v>
      </c>
      <c r="E1229" s="207" t="s">
        <v>612</v>
      </c>
      <c r="F1229" s="211">
        <f t="shared" si="508"/>
        <v>1218</v>
      </c>
      <c r="G1229" s="206" t="s">
        <v>44</v>
      </c>
      <c r="H1229" s="206"/>
      <c r="I1229" s="224" t="s">
        <v>610</v>
      </c>
      <c r="J1229" s="208" t="str">
        <f>J1228</f>
        <v>1550 mm id</v>
      </c>
      <c r="K1229" s="234">
        <v>1</v>
      </c>
      <c r="L1229" s="208" t="s">
        <v>39</v>
      </c>
      <c r="M1229" s="217">
        <v>1</v>
      </c>
      <c r="N1229" s="208" t="s">
        <v>39</v>
      </c>
      <c r="O1229" s="218">
        <v>1</v>
      </c>
      <c r="P1229" s="208" t="s">
        <v>41</v>
      </c>
      <c r="Q1229" s="240">
        <f t="shared" si="507"/>
        <v>1</v>
      </c>
      <c r="R1229" s="239">
        <v>0</v>
      </c>
      <c r="S1229" s="240">
        <f t="shared" si="481"/>
        <v>1</v>
      </c>
      <c r="T1229" s="216" t="s">
        <v>48</v>
      </c>
      <c r="U1229" s="196" t="str">
        <f t="shared" si="479"/>
        <v>1 Hrs</v>
      </c>
    </row>
    <row r="1230" spans="3:21" s="185" customFormat="1" ht="20.25" customHeight="1">
      <c r="C1230" s="198">
        <f t="shared" ref="C1230:C1231" si="510">D1230</f>
        <v>1220</v>
      </c>
      <c r="D1230" s="203">
        <f t="shared" si="509"/>
        <v>1220</v>
      </c>
      <c r="E1230" s="251" t="s">
        <v>613</v>
      </c>
      <c r="F1230" s="210"/>
      <c r="G1230" s="206"/>
      <c r="H1230" s="206"/>
      <c r="I1230" s="208"/>
      <c r="J1230" s="208"/>
      <c r="K1230" s="234"/>
      <c r="L1230" s="208"/>
      <c r="M1230" s="217"/>
      <c r="N1230" s="208"/>
      <c r="O1230" s="218"/>
      <c r="P1230" s="208"/>
      <c r="Q1230" s="240"/>
      <c r="R1230" s="239"/>
      <c r="S1230" s="240"/>
      <c r="T1230" s="216"/>
      <c r="U1230" s="196"/>
    </row>
    <row r="1231" spans="3:21" s="185" customFormat="1" ht="20.25" customHeight="1">
      <c r="C1231" s="198">
        <f t="shared" si="510"/>
        <v>1221</v>
      </c>
      <c r="D1231" s="203">
        <f t="shared" si="509"/>
        <v>1221</v>
      </c>
      <c r="E1231" s="204" t="s">
        <v>614</v>
      </c>
      <c r="F1231" s="210"/>
      <c r="G1231" s="206"/>
      <c r="H1231" s="206"/>
      <c r="I1231" s="208"/>
      <c r="J1231" s="208"/>
      <c r="K1231" s="234"/>
      <c r="L1231" s="208"/>
      <c r="M1231" s="217"/>
      <c r="N1231" s="208"/>
      <c r="O1231" s="218"/>
      <c r="P1231" s="208"/>
      <c r="Q1231" s="240"/>
      <c r="R1231" s="239"/>
      <c r="S1231" s="240"/>
      <c r="T1231" s="216"/>
      <c r="U1231" s="196"/>
    </row>
    <row r="1232" spans="3:21" s="185" customFormat="1" ht="20.25" customHeight="1">
      <c r="C1232" s="198"/>
      <c r="D1232" s="203">
        <f t="shared" si="509"/>
        <v>1222</v>
      </c>
      <c r="E1232" s="207" t="s">
        <v>615</v>
      </c>
      <c r="F1232" s="211"/>
      <c r="G1232" s="206" t="s">
        <v>616</v>
      </c>
      <c r="H1232" s="206"/>
      <c r="I1232" s="224" t="s">
        <v>617</v>
      </c>
      <c r="J1232" s="234" t="s">
        <v>618</v>
      </c>
      <c r="K1232" s="234"/>
      <c r="L1232" s="208"/>
      <c r="M1232" s="217">
        <v>1</v>
      </c>
      <c r="N1232" s="208"/>
      <c r="O1232" s="218">
        <v>1.5</v>
      </c>
      <c r="P1232" s="208" t="s">
        <v>41</v>
      </c>
      <c r="Q1232" s="240">
        <f t="shared" ref="Q1232:Q1233" si="511">M1232*O1232</f>
        <v>1.5</v>
      </c>
      <c r="R1232" s="239">
        <v>0</v>
      </c>
      <c r="S1232" s="240">
        <f t="shared" si="481"/>
        <v>1.5</v>
      </c>
      <c r="T1232" s="216" t="s">
        <v>48</v>
      </c>
      <c r="U1232" s="196" t="str">
        <f t="shared" si="479"/>
        <v>1.5 Hrs</v>
      </c>
    </row>
    <row r="1233" spans="3:21" s="185" customFormat="1" ht="20.25" customHeight="1">
      <c r="C1233" s="198"/>
      <c r="D1233" s="203">
        <f t="shared" si="509"/>
        <v>1223</v>
      </c>
      <c r="E1233" s="207" t="s">
        <v>619</v>
      </c>
      <c r="F1233" s="211">
        <f t="shared" ref="F1233" si="512">D1232</f>
        <v>1222</v>
      </c>
      <c r="G1233" s="206" t="s">
        <v>620</v>
      </c>
      <c r="H1233" s="206"/>
      <c r="I1233" s="208"/>
      <c r="J1233" s="234" t="s">
        <v>621</v>
      </c>
      <c r="K1233" s="234">
        <v>1</v>
      </c>
      <c r="L1233" s="208" t="s">
        <v>81</v>
      </c>
      <c r="M1233" s="217">
        <v>19</v>
      </c>
      <c r="N1233" s="208" t="s">
        <v>81</v>
      </c>
      <c r="O1233" s="218">
        <v>0.5</v>
      </c>
      <c r="P1233" s="208" t="s">
        <v>112</v>
      </c>
      <c r="Q1233" s="240">
        <f t="shared" si="511"/>
        <v>9.5</v>
      </c>
      <c r="R1233" s="239">
        <v>1</v>
      </c>
      <c r="S1233" s="240">
        <f t="shared" si="481"/>
        <v>10.5</v>
      </c>
      <c r="T1233" s="216" t="s">
        <v>48</v>
      </c>
      <c r="U1233" s="196" t="str">
        <f t="shared" si="479"/>
        <v>10.5 Hrs</v>
      </c>
    </row>
    <row r="1234" spans="3:21" s="185" customFormat="1" ht="20.25" customHeight="1">
      <c r="C1234" s="198">
        <f>D1234</f>
        <v>1224</v>
      </c>
      <c r="D1234" s="203">
        <f t="shared" si="509"/>
        <v>1224</v>
      </c>
      <c r="E1234" s="204" t="s">
        <v>622</v>
      </c>
      <c r="F1234" s="210">
        <f>D1231</f>
        <v>1221</v>
      </c>
      <c r="G1234" s="206"/>
      <c r="H1234" s="206"/>
      <c r="I1234" s="208"/>
      <c r="J1234" s="208"/>
      <c r="K1234" s="234"/>
      <c r="L1234" s="208"/>
      <c r="M1234" s="217"/>
      <c r="N1234" s="208"/>
      <c r="O1234" s="218"/>
      <c r="P1234" s="208"/>
      <c r="Q1234" s="240"/>
      <c r="R1234" s="239"/>
      <c r="S1234" s="240"/>
      <c r="T1234" s="216"/>
      <c r="U1234" s="196"/>
    </row>
    <row r="1235" spans="3:21" s="185" customFormat="1" ht="20.25" customHeight="1">
      <c r="C1235" s="198"/>
      <c r="D1235" s="203">
        <f t="shared" si="509"/>
        <v>1225</v>
      </c>
      <c r="E1235" s="207" t="s">
        <v>622</v>
      </c>
      <c r="F1235" s="211"/>
      <c r="G1235" s="206" t="s">
        <v>623</v>
      </c>
      <c r="H1235" s="206"/>
      <c r="I1235" s="224" t="s">
        <v>266</v>
      </c>
      <c r="J1235" s="234" t="s">
        <v>624</v>
      </c>
      <c r="K1235" s="234">
        <v>654</v>
      </c>
      <c r="L1235" s="208" t="s">
        <v>81</v>
      </c>
      <c r="M1235" s="235">
        <f>K1235</f>
        <v>654</v>
      </c>
      <c r="N1235" s="208" t="s">
        <v>81</v>
      </c>
      <c r="O1235" s="246">
        <f>1/60*5</f>
        <v>8.3333333333333329E-2</v>
      </c>
      <c r="P1235" s="208" t="s">
        <v>87</v>
      </c>
      <c r="Q1235" s="240">
        <f t="shared" ref="Q1235:Q1237" si="513">M1235*O1235</f>
        <v>54.5</v>
      </c>
      <c r="R1235" s="239">
        <v>1</v>
      </c>
      <c r="S1235" s="240">
        <f t="shared" si="481"/>
        <v>55.5</v>
      </c>
      <c r="T1235" s="216" t="s">
        <v>48</v>
      </c>
      <c r="U1235" s="196" t="str">
        <f t="shared" si="479"/>
        <v>55.5 Hrs</v>
      </c>
    </row>
    <row r="1236" spans="3:21" s="185" customFormat="1" ht="20.25" customHeight="1">
      <c r="C1236" s="198"/>
      <c r="D1236" s="203">
        <f t="shared" si="509"/>
        <v>1226</v>
      </c>
      <c r="E1236" s="207" t="s">
        <v>625</v>
      </c>
      <c r="F1236" s="211">
        <f t="shared" ref="F1236:F1237" si="514">D1235</f>
        <v>1225</v>
      </c>
      <c r="G1236" s="206" t="s">
        <v>626</v>
      </c>
      <c r="H1236" s="206"/>
      <c r="I1236" s="224" t="s">
        <v>266</v>
      </c>
      <c r="J1236" s="234" t="s">
        <v>627</v>
      </c>
      <c r="K1236" s="234">
        <v>14</v>
      </c>
      <c r="L1236" s="208" t="s">
        <v>81</v>
      </c>
      <c r="M1236" s="235">
        <f>K1236</f>
        <v>14</v>
      </c>
      <c r="N1236" s="208" t="s">
        <v>81</v>
      </c>
      <c r="O1236" s="246">
        <v>0.5</v>
      </c>
      <c r="P1236" s="208" t="s">
        <v>87</v>
      </c>
      <c r="Q1236" s="240">
        <f t="shared" si="513"/>
        <v>7</v>
      </c>
      <c r="R1236" s="239">
        <v>1</v>
      </c>
      <c r="S1236" s="240">
        <f t="shared" si="481"/>
        <v>8</v>
      </c>
      <c r="T1236" s="216" t="s">
        <v>48</v>
      </c>
      <c r="U1236" s="196" t="str">
        <f t="shared" si="479"/>
        <v>8 Hrs</v>
      </c>
    </row>
    <row r="1237" spans="3:21" s="185" customFormat="1" ht="20.25" customHeight="1">
      <c r="C1237" s="198"/>
      <c r="D1237" s="203">
        <f t="shared" si="509"/>
        <v>1227</v>
      </c>
      <c r="E1237" s="207" t="s">
        <v>622</v>
      </c>
      <c r="F1237" s="211">
        <f t="shared" si="514"/>
        <v>1226</v>
      </c>
      <c r="G1237" s="206" t="s">
        <v>623</v>
      </c>
      <c r="H1237" s="206"/>
      <c r="I1237" s="224" t="s">
        <v>266</v>
      </c>
      <c r="J1237" s="208" t="str">
        <f>J1235</f>
        <v>7000 lg</v>
      </c>
      <c r="K1237" s="234">
        <v>654</v>
      </c>
      <c r="L1237" s="208" t="s">
        <v>81</v>
      </c>
      <c r="M1237" s="235">
        <f>K1237</f>
        <v>654</v>
      </c>
      <c r="N1237" s="208" t="s">
        <v>81</v>
      </c>
      <c r="O1237" s="246">
        <f>1/60*5</f>
        <v>8.3333333333333329E-2</v>
      </c>
      <c r="P1237" s="208" t="s">
        <v>87</v>
      </c>
      <c r="Q1237" s="240">
        <f t="shared" si="513"/>
        <v>54.5</v>
      </c>
      <c r="R1237" s="239">
        <v>1</v>
      </c>
      <c r="S1237" s="240">
        <f t="shared" si="481"/>
        <v>55.5</v>
      </c>
      <c r="T1237" s="216" t="s">
        <v>48</v>
      </c>
      <c r="U1237" s="196" t="str">
        <f t="shared" si="479"/>
        <v>55.5 Hrs</v>
      </c>
    </row>
    <row r="1238" spans="3:21" s="185" customFormat="1" ht="20.25" customHeight="1">
      <c r="C1238" s="198">
        <f>D1238</f>
        <v>1228</v>
      </c>
      <c r="D1238" s="203">
        <f t="shared" si="509"/>
        <v>1228</v>
      </c>
      <c r="E1238" s="204" t="s">
        <v>628</v>
      </c>
      <c r="F1238" s="210">
        <f>D1234</f>
        <v>1224</v>
      </c>
      <c r="G1238" s="206"/>
      <c r="H1238" s="206"/>
      <c r="I1238" s="208"/>
      <c r="J1238" s="208"/>
      <c r="K1238" s="234"/>
      <c r="L1238" s="208"/>
      <c r="M1238" s="217"/>
      <c r="N1238" s="208"/>
      <c r="O1238" s="218"/>
      <c r="P1238" s="208"/>
      <c r="Q1238" s="240"/>
      <c r="R1238" s="239"/>
      <c r="S1238" s="240"/>
      <c r="T1238" s="216"/>
      <c r="U1238" s="196"/>
    </row>
    <row r="1239" spans="3:21" s="185" customFormat="1" ht="20.25" customHeight="1">
      <c r="C1239" s="198"/>
      <c r="D1239" s="203">
        <f t="shared" si="509"/>
        <v>1229</v>
      </c>
      <c r="E1239" s="207" t="s">
        <v>629</v>
      </c>
      <c r="F1239" s="211"/>
      <c r="G1239" s="206" t="s">
        <v>44</v>
      </c>
      <c r="H1239" s="206"/>
      <c r="I1239" s="224">
        <v>8</v>
      </c>
      <c r="J1239" s="234" t="s">
        <v>630</v>
      </c>
      <c r="K1239" s="234">
        <v>2</v>
      </c>
      <c r="L1239" s="208" t="s">
        <v>81</v>
      </c>
      <c r="M1239" s="217">
        <v>2</v>
      </c>
      <c r="N1239" s="208" t="s">
        <v>81</v>
      </c>
      <c r="O1239" s="246">
        <v>3</v>
      </c>
      <c r="P1239" s="208" t="s">
        <v>87</v>
      </c>
      <c r="Q1239" s="240">
        <f t="shared" ref="Q1239:Q1241" si="515">M1239*O1239</f>
        <v>6</v>
      </c>
      <c r="R1239" s="239">
        <v>1</v>
      </c>
      <c r="S1239" s="240">
        <f t="shared" si="481"/>
        <v>7</v>
      </c>
      <c r="T1239" s="216" t="s">
        <v>48</v>
      </c>
      <c r="U1239" s="196" t="str">
        <f t="shared" si="479"/>
        <v>7 Hrs</v>
      </c>
    </row>
    <row r="1240" spans="3:21" s="185" customFormat="1" ht="20.25" customHeight="1">
      <c r="C1240" s="198"/>
      <c r="D1240" s="203">
        <f t="shared" si="509"/>
        <v>1230</v>
      </c>
      <c r="E1240" s="207" t="s">
        <v>631</v>
      </c>
      <c r="F1240" s="211">
        <f t="shared" ref="F1240:F1241" si="516">D1239</f>
        <v>1229</v>
      </c>
      <c r="G1240" s="206" t="s">
        <v>115</v>
      </c>
      <c r="H1240" s="206"/>
      <c r="I1240" s="224">
        <v>8</v>
      </c>
      <c r="J1240" s="234" t="s">
        <v>632</v>
      </c>
      <c r="K1240" s="234">
        <v>1</v>
      </c>
      <c r="L1240" s="208" t="s">
        <v>84</v>
      </c>
      <c r="M1240" s="227" t="str">
        <f>LEFT(J1240,SEARCH(" ",J1240,1)-1)</f>
        <v>60</v>
      </c>
      <c r="N1240" s="208" t="s">
        <v>633</v>
      </c>
      <c r="O1240" s="246">
        <v>0.25</v>
      </c>
      <c r="P1240" s="208" t="s">
        <v>87</v>
      </c>
      <c r="Q1240" s="240">
        <f t="shared" si="515"/>
        <v>15</v>
      </c>
      <c r="R1240" s="239">
        <v>1</v>
      </c>
      <c r="S1240" s="240">
        <f t="shared" si="481"/>
        <v>16</v>
      </c>
      <c r="T1240" s="216" t="s">
        <v>48</v>
      </c>
      <c r="U1240" s="196" t="str">
        <f t="shared" si="479"/>
        <v>16 Hrs</v>
      </c>
    </row>
    <row r="1241" spans="3:21" s="185" customFormat="1" ht="20.25" customHeight="1">
      <c r="C1241" s="198"/>
      <c r="D1241" s="203">
        <f t="shared" si="509"/>
        <v>1231</v>
      </c>
      <c r="E1241" s="207" t="s">
        <v>634</v>
      </c>
      <c r="F1241" s="211">
        <f t="shared" si="516"/>
        <v>1230</v>
      </c>
      <c r="G1241" s="206" t="s">
        <v>61</v>
      </c>
      <c r="H1241" s="206"/>
      <c r="I1241" s="224">
        <v>1500</v>
      </c>
      <c r="J1241" s="208" t="str">
        <f>J1240</f>
        <v>60 joints</v>
      </c>
      <c r="K1241" s="234">
        <v>1</v>
      </c>
      <c r="L1241" s="208" t="s">
        <v>84</v>
      </c>
      <c r="M1241" s="227" t="str">
        <f>LEFT(J1241,SEARCH(" ",J1241,1)-1)</f>
        <v>60</v>
      </c>
      <c r="N1241" s="208" t="s">
        <v>633</v>
      </c>
      <c r="O1241" s="246">
        <f>VLOOKUP(I1241,BM!$A$2:$X$104,9,FALSE)</f>
        <v>0.25</v>
      </c>
      <c r="P1241" s="208" t="s">
        <v>87</v>
      </c>
      <c r="Q1241" s="240">
        <f t="shared" si="515"/>
        <v>15</v>
      </c>
      <c r="R1241" s="239">
        <v>1</v>
      </c>
      <c r="S1241" s="240">
        <f t="shared" si="481"/>
        <v>16</v>
      </c>
      <c r="T1241" s="216" t="s">
        <v>48</v>
      </c>
      <c r="U1241" s="196" t="str">
        <f t="shared" si="479"/>
        <v>16 Hrs</v>
      </c>
    </row>
    <row r="1242" spans="3:21" s="185" customFormat="1" ht="20.25" customHeight="1">
      <c r="C1242" s="198">
        <f>D1242</f>
        <v>1232</v>
      </c>
      <c r="D1242" s="203">
        <f t="shared" si="509"/>
        <v>1232</v>
      </c>
      <c r="E1242" s="204" t="s">
        <v>635</v>
      </c>
      <c r="F1242" s="210">
        <f>D1238</f>
        <v>1228</v>
      </c>
      <c r="G1242" s="206"/>
      <c r="H1242" s="206"/>
      <c r="I1242" s="208"/>
      <c r="J1242" s="208"/>
      <c r="K1242" s="234"/>
      <c r="L1242" s="208"/>
      <c r="M1242" s="217"/>
      <c r="N1242" s="208"/>
      <c r="O1242" s="218"/>
      <c r="P1242" s="208"/>
      <c r="Q1242" s="240"/>
      <c r="R1242" s="239"/>
      <c r="S1242" s="240"/>
      <c r="T1242" s="216"/>
      <c r="U1242" s="196"/>
    </row>
    <row r="1243" spans="3:21" s="185" customFormat="1" ht="20.25" customHeight="1">
      <c r="C1243" s="198"/>
      <c r="D1243" s="203">
        <f t="shared" si="509"/>
        <v>1233</v>
      </c>
      <c r="E1243" s="207" t="s">
        <v>636</v>
      </c>
      <c r="F1243" s="211"/>
      <c r="G1243" s="206" t="s">
        <v>637</v>
      </c>
      <c r="H1243" s="206"/>
      <c r="I1243" s="208"/>
      <c r="J1243" s="234" t="s">
        <v>638</v>
      </c>
      <c r="K1243" s="234">
        <v>1</v>
      </c>
      <c r="L1243" s="208" t="s">
        <v>81</v>
      </c>
      <c r="M1243" s="217">
        <v>1</v>
      </c>
      <c r="N1243" s="208" t="s">
        <v>81</v>
      </c>
      <c r="O1243" s="218">
        <v>16</v>
      </c>
      <c r="P1243" s="208" t="s">
        <v>87</v>
      </c>
      <c r="Q1243" s="240">
        <f t="shared" ref="Q1243:Q1245" si="517">M1243*O1243</f>
        <v>16</v>
      </c>
      <c r="R1243" s="239">
        <v>1</v>
      </c>
      <c r="S1243" s="240">
        <f t="shared" si="481"/>
        <v>17</v>
      </c>
      <c r="T1243" s="216" t="s">
        <v>48</v>
      </c>
      <c r="U1243" s="196" t="str">
        <f t="shared" si="479"/>
        <v>17 Hrs</v>
      </c>
    </row>
    <row r="1244" spans="3:21" s="185" customFormat="1" ht="20.25" customHeight="1">
      <c r="C1244" s="198"/>
      <c r="D1244" s="203">
        <f t="shared" si="509"/>
        <v>1234</v>
      </c>
      <c r="E1244" s="207" t="s">
        <v>639</v>
      </c>
      <c r="F1244" s="211">
        <f t="shared" ref="F1244:F1245" si="518">D1243</f>
        <v>1233</v>
      </c>
      <c r="G1244" s="206" t="s">
        <v>640</v>
      </c>
      <c r="H1244" s="206"/>
      <c r="I1244" s="224" t="s">
        <v>641</v>
      </c>
      <c r="J1244" s="208"/>
      <c r="K1244" s="234">
        <v>1</v>
      </c>
      <c r="L1244" s="208" t="s">
        <v>81</v>
      </c>
      <c r="M1244" s="217">
        <v>1</v>
      </c>
      <c r="N1244" s="208" t="s">
        <v>81</v>
      </c>
      <c r="O1244" s="218">
        <v>4</v>
      </c>
      <c r="P1244" s="208" t="s">
        <v>87</v>
      </c>
      <c r="Q1244" s="240">
        <f t="shared" si="517"/>
        <v>4</v>
      </c>
      <c r="R1244" s="239">
        <v>1</v>
      </c>
      <c r="S1244" s="240">
        <f t="shared" si="481"/>
        <v>5</v>
      </c>
      <c r="T1244" s="216" t="s">
        <v>48</v>
      </c>
      <c r="U1244" s="196" t="str">
        <f t="shared" ref="U1244:U1288" si="519">CONCATENATE(S1244," ",T1244)</f>
        <v>5 Hrs</v>
      </c>
    </row>
    <row r="1245" spans="3:21" s="185" customFormat="1" ht="20.25" customHeight="1">
      <c r="C1245" s="198"/>
      <c r="D1245" s="203">
        <f t="shared" si="509"/>
        <v>1235</v>
      </c>
      <c r="E1245" s="207" t="s">
        <v>642</v>
      </c>
      <c r="F1245" s="211">
        <f t="shared" si="518"/>
        <v>1234</v>
      </c>
      <c r="G1245" s="206" t="s">
        <v>643</v>
      </c>
      <c r="H1245" s="206"/>
      <c r="I1245" s="224" t="s">
        <v>644</v>
      </c>
      <c r="J1245" s="234">
        <v>1490</v>
      </c>
      <c r="K1245" s="234">
        <v>1</v>
      </c>
      <c r="L1245" s="208" t="s">
        <v>81</v>
      </c>
      <c r="M1245" s="217">
        <v>56</v>
      </c>
      <c r="N1245" s="208" t="s">
        <v>645</v>
      </c>
      <c r="O1245" s="246">
        <f>1/60*10</f>
        <v>0.16666666666666666</v>
      </c>
      <c r="P1245" s="208" t="s">
        <v>112</v>
      </c>
      <c r="Q1245" s="240">
        <f t="shared" si="517"/>
        <v>9.3333333333333321</v>
      </c>
      <c r="R1245" s="239">
        <v>1</v>
      </c>
      <c r="S1245" s="240">
        <f t="shared" ref="S1245:S1288" si="520">ROUND(Q1245+R1245,2)</f>
        <v>10.33</v>
      </c>
      <c r="T1245" s="216" t="s">
        <v>48</v>
      </c>
      <c r="U1245" s="196" t="str">
        <f t="shared" si="519"/>
        <v>10.33 Hrs</v>
      </c>
    </row>
    <row r="1246" spans="3:21" s="185" customFormat="1" ht="20.25" customHeight="1">
      <c r="C1246" s="198">
        <f>D1246</f>
        <v>1236</v>
      </c>
      <c r="D1246" s="203">
        <f t="shared" si="509"/>
        <v>1236</v>
      </c>
      <c r="E1246" s="204" t="s">
        <v>646</v>
      </c>
      <c r="F1246" s="210">
        <f>D1242</f>
        <v>1232</v>
      </c>
      <c r="G1246" s="206"/>
      <c r="H1246" s="206"/>
      <c r="I1246" s="208"/>
      <c r="J1246" s="208"/>
      <c r="K1246" s="234"/>
      <c r="L1246" s="208"/>
      <c r="M1246" s="217"/>
      <c r="N1246" s="208"/>
      <c r="O1246" s="218"/>
      <c r="P1246" s="208"/>
      <c r="Q1246" s="240"/>
      <c r="R1246" s="239"/>
      <c r="S1246" s="240"/>
      <c r="T1246" s="216"/>
      <c r="U1246" s="196"/>
    </row>
    <row r="1247" spans="3:21" s="185" customFormat="1" ht="20.25" customHeight="1">
      <c r="C1247" s="198"/>
      <c r="D1247" s="203">
        <f t="shared" si="509"/>
        <v>1237</v>
      </c>
      <c r="E1247" s="207" t="s">
        <v>647</v>
      </c>
      <c r="F1247" s="211"/>
      <c r="G1247" s="206" t="s">
        <v>201</v>
      </c>
      <c r="H1247" s="206"/>
      <c r="I1247" s="224" t="s">
        <v>648</v>
      </c>
      <c r="J1247" s="234" t="s">
        <v>649</v>
      </c>
      <c r="K1247" s="234">
        <v>1308</v>
      </c>
      <c r="L1247" s="208" t="s">
        <v>81</v>
      </c>
      <c r="M1247" s="227" t="str">
        <f>LEFT(J1247,SEARCH(" ",J1247,1)-1)</f>
        <v>1308</v>
      </c>
      <c r="N1247" s="208" t="s">
        <v>650</v>
      </c>
      <c r="O1247" s="246">
        <f>1/60*1</f>
        <v>1.6666666666666666E-2</v>
      </c>
      <c r="P1247" s="208" t="s">
        <v>112</v>
      </c>
      <c r="Q1247" s="240">
        <f t="shared" ref="Q1247:Q1250" si="521">M1247*O1247</f>
        <v>21.8</v>
      </c>
      <c r="R1247" s="239">
        <v>1</v>
      </c>
      <c r="S1247" s="240">
        <f t="shared" si="520"/>
        <v>22.8</v>
      </c>
      <c r="T1247" s="216" t="s">
        <v>48</v>
      </c>
      <c r="U1247" s="196" t="str">
        <f t="shared" si="519"/>
        <v>22.8 Hrs</v>
      </c>
    </row>
    <row r="1248" spans="3:21" s="185" customFormat="1" ht="20.25" customHeight="1">
      <c r="C1248" s="198"/>
      <c r="D1248" s="203">
        <f t="shared" si="509"/>
        <v>1238</v>
      </c>
      <c r="E1248" s="207" t="s">
        <v>651</v>
      </c>
      <c r="F1248" s="211">
        <f t="shared" ref="F1248:F1250" si="522">D1247</f>
        <v>1237</v>
      </c>
      <c r="G1248" s="206" t="s">
        <v>201</v>
      </c>
      <c r="H1248" s="206"/>
      <c r="I1248" s="224" t="s">
        <v>652</v>
      </c>
      <c r="J1248" s="234" t="s">
        <v>649</v>
      </c>
      <c r="K1248" s="234">
        <v>1308</v>
      </c>
      <c r="L1248" s="208" t="s">
        <v>81</v>
      </c>
      <c r="M1248" s="227" t="str">
        <f>LEFT(J1248,SEARCH(" ",J1248,1)-1)</f>
        <v>1308</v>
      </c>
      <c r="N1248" s="208" t="s">
        <v>650</v>
      </c>
      <c r="O1248" s="246">
        <f>1/60*0.5</f>
        <v>8.3333333333333332E-3</v>
      </c>
      <c r="P1248" s="208" t="s">
        <v>112</v>
      </c>
      <c r="Q1248" s="240">
        <f t="shared" si="521"/>
        <v>10.9</v>
      </c>
      <c r="R1248" s="239">
        <v>1</v>
      </c>
      <c r="S1248" s="240">
        <f t="shared" si="520"/>
        <v>11.9</v>
      </c>
      <c r="T1248" s="216" t="s">
        <v>48</v>
      </c>
      <c r="U1248" s="196" t="str">
        <f t="shared" si="519"/>
        <v>11.9 Hrs</v>
      </c>
    </row>
    <row r="1249" spans="3:21" s="185" customFormat="1" ht="20.25" customHeight="1">
      <c r="C1249" s="198"/>
      <c r="D1249" s="203">
        <f t="shared" si="509"/>
        <v>1239</v>
      </c>
      <c r="E1249" s="207" t="s">
        <v>653</v>
      </c>
      <c r="F1249" s="211">
        <f t="shared" si="522"/>
        <v>1238</v>
      </c>
      <c r="G1249" s="206" t="s">
        <v>44</v>
      </c>
      <c r="H1249" s="206"/>
      <c r="I1249" s="224" t="s">
        <v>652</v>
      </c>
      <c r="J1249" s="234" t="s">
        <v>649</v>
      </c>
      <c r="K1249" s="234">
        <v>1308</v>
      </c>
      <c r="L1249" s="208" t="s">
        <v>81</v>
      </c>
      <c r="M1249" s="227" t="str">
        <f>LEFT(J1249,SEARCH(" ",J1249,1)-1)</f>
        <v>1308</v>
      </c>
      <c r="N1249" s="208" t="s">
        <v>654</v>
      </c>
      <c r="O1249" s="246">
        <f>1/60*2</f>
        <v>3.3333333333333333E-2</v>
      </c>
      <c r="P1249" s="208" t="s">
        <v>112</v>
      </c>
      <c r="Q1249" s="240">
        <f t="shared" si="521"/>
        <v>43.6</v>
      </c>
      <c r="R1249" s="239">
        <v>1</v>
      </c>
      <c r="S1249" s="240">
        <f t="shared" si="520"/>
        <v>44.6</v>
      </c>
      <c r="T1249" s="216" t="s">
        <v>48</v>
      </c>
      <c r="U1249" s="196" t="str">
        <f t="shared" si="519"/>
        <v>44.6 Hrs</v>
      </c>
    </row>
    <row r="1250" spans="3:21" s="185" customFormat="1" ht="20.25" customHeight="1">
      <c r="C1250" s="198"/>
      <c r="D1250" s="203">
        <f t="shared" si="509"/>
        <v>1240</v>
      </c>
      <c r="E1250" s="207" t="s">
        <v>655</v>
      </c>
      <c r="F1250" s="211">
        <f t="shared" si="522"/>
        <v>1239</v>
      </c>
      <c r="G1250" s="206" t="s">
        <v>656</v>
      </c>
      <c r="H1250" s="206"/>
      <c r="I1250" s="224" t="s">
        <v>657</v>
      </c>
      <c r="J1250" s="234" t="s">
        <v>658</v>
      </c>
      <c r="K1250" s="225">
        <v>2616</v>
      </c>
      <c r="L1250" s="208" t="s">
        <v>81</v>
      </c>
      <c r="M1250" s="227" t="str">
        <f>LEFT(J1250,SEARCH(" ",J1250,1)-1)</f>
        <v>2616</v>
      </c>
      <c r="N1250" s="208" t="s">
        <v>650</v>
      </c>
      <c r="O1250" s="246">
        <f>1/60*0.5</f>
        <v>8.3333333333333332E-3</v>
      </c>
      <c r="P1250" s="208" t="s">
        <v>112</v>
      </c>
      <c r="Q1250" s="240">
        <f t="shared" si="521"/>
        <v>21.8</v>
      </c>
      <c r="R1250" s="239">
        <v>1</v>
      </c>
      <c r="S1250" s="240">
        <f t="shared" si="520"/>
        <v>22.8</v>
      </c>
      <c r="T1250" s="216" t="s">
        <v>48</v>
      </c>
      <c r="U1250" s="196" t="str">
        <f t="shared" si="519"/>
        <v>22.8 Hrs</v>
      </c>
    </row>
    <row r="1251" spans="3:21" s="185" customFormat="1" ht="20.25" customHeight="1">
      <c r="C1251" s="198">
        <f>D1251</f>
        <v>1241</v>
      </c>
      <c r="D1251" s="203">
        <f t="shared" si="509"/>
        <v>1241</v>
      </c>
      <c r="E1251" s="204" t="s">
        <v>659</v>
      </c>
      <c r="F1251" s="210">
        <f>D1246</f>
        <v>1236</v>
      </c>
      <c r="G1251" s="206"/>
      <c r="H1251" s="206"/>
      <c r="I1251" s="208"/>
      <c r="J1251" s="208"/>
      <c r="K1251" s="234"/>
      <c r="L1251" s="208"/>
      <c r="M1251" s="217"/>
      <c r="N1251" s="208"/>
      <c r="O1251" s="218"/>
      <c r="P1251" s="208"/>
      <c r="Q1251" s="240"/>
      <c r="R1251" s="239"/>
      <c r="S1251" s="240"/>
      <c r="T1251" s="216"/>
      <c r="U1251" s="196"/>
    </row>
    <row r="1252" spans="3:21" s="185" customFormat="1" ht="20.25" customHeight="1">
      <c r="C1252" s="198"/>
      <c r="D1252" s="203">
        <f t="shared" si="509"/>
        <v>1242</v>
      </c>
      <c r="E1252" s="207" t="s">
        <v>660</v>
      </c>
      <c r="F1252" s="211"/>
      <c r="G1252" s="206" t="s">
        <v>656</v>
      </c>
      <c r="H1252" s="206"/>
      <c r="I1252" s="208"/>
      <c r="J1252" s="208"/>
      <c r="K1252" s="234">
        <v>1</v>
      </c>
      <c r="L1252" s="208" t="s">
        <v>39</v>
      </c>
      <c r="M1252" s="217">
        <v>1</v>
      </c>
      <c r="N1252" s="208" t="s">
        <v>661</v>
      </c>
      <c r="O1252" s="218">
        <v>4</v>
      </c>
      <c r="P1252" s="208" t="s">
        <v>112</v>
      </c>
      <c r="Q1252" s="240">
        <f t="shared" ref="Q1252:Q1254" si="523">M1252*O1252</f>
        <v>4</v>
      </c>
      <c r="R1252" s="239">
        <v>1</v>
      </c>
      <c r="S1252" s="240">
        <f t="shared" si="520"/>
        <v>5</v>
      </c>
      <c r="T1252" s="216" t="s">
        <v>48</v>
      </c>
      <c r="U1252" s="196" t="str">
        <f t="shared" si="519"/>
        <v>5 Hrs</v>
      </c>
    </row>
    <row r="1253" spans="3:21" s="185" customFormat="1" ht="20.25" customHeight="1">
      <c r="C1253" s="198"/>
      <c r="D1253" s="203">
        <f t="shared" si="509"/>
        <v>1243</v>
      </c>
      <c r="E1253" s="207" t="s">
        <v>662</v>
      </c>
      <c r="F1253" s="211">
        <f t="shared" ref="F1253:F1254" si="524">D1252</f>
        <v>1242</v>
      </c>
      <c r="G1253" s="206" t="s">
        <v>44</v>
      </c>
      <c r="H1253" s="206"/>
      <c r="I1253" s="208"/>
      <c r="J1253" s="208"/>
      <c r="K1253" s="234">
        <v>1</v>
      </c>
      <c r="L1253" s="208" t="s">
        <v>39</v>
      </c>
      <c r="M1253" s="217">
        <v>1</v>
      </c>
      <c r="N1253" s="208" t="s">
        <v>661</v>
      </c>
      <c r="O1253" s="218">
        <v>1</v>
      </c>
      <c r="P1253" s="208" t="s">
        <v>41</v>
      </c>
      <c r="Q1253" s="240">
        <f t="shared" si="523"/>
        <v>1</v>
      </c>
      <c r="R1253" s="239"/>
      <c r="S1253" s="240">
        <f t="shared" si="520"/>
        <v>1</v>
      </c>
      <c r="T1253" s="216" t="s">
        <v>48</v>
      </c>
      <c r="U1253" s="196" t="str">
        <f t="shared" si="519"/>
        <v>1 Hrs</v>
      </c>
    </row>
    <row r="1254" spans="3:21" s="185" customFormat="1" ht="20.25" customHeight="1">
      <c r="C1254" s="198"/>
      <c r="D1254" s="203">
        <f t="shared" si="509"/>
        <v>1244</v>
      </c>
      <c r="E1254" s="207" t="s">
        <v>663</v>
      </c>
      <c r="F1254" s="211">
        <f t="shared" si="524"/>
        <v>1243</v>
      </c>
      <c r="G1254" s="206" t="s">
        <v>224</v>
      </c>
      <c r="H1254" s="206"/>
      <c r="I1254" s="208"/>
      <c r="J1254" s="208"/>
      <c r="K1254" s="234">
        <v>1</v>
      </c>
      <c r="L1254" s="208" t="s">
        <v>39</v>
      </c>
      <c r="M1254" s="217">
        <v>1</v>
      </c>
      <c r="N1254" s="208" t="s">
        <v>39</v>
      </c>
      <c r="O1254" s="218">
        <v>1</v>
      </c>
      <c r="P1254" s="208" t="s">
        <v>162</v>
      </c>
      <c r="Q1254" s="240">
        <f t="shared" si="523"/>
        <v>1</v>
      </c>
      <c r="R1254" s="239"/>
      <c r="S1254" s="240">
        <f t="shared" si="520"/>
        <v>1</v>
      </c>
      <c r="T1254" s="216" t="s">
        <v>48</v>
      </c>
      <c r="U1254" s="196" t="str">
        <f t="shared" si="519"/>
        <v>1 Hrs</v>
      </c>
    </row>
    <row r="1255" spans="3:21" s="185" customFormat="1" ht="20.25" customHeight="1">
      <c r="C1255" s="198">
        <f>D1255</f>
        <v>1245</v>
      </c>
      <c r="D1255" s="203">
        <f t="shared" si="509"/>
        <v>1245</v>
      </c>
      <c r="E1255" s="204" t="s">
        <v>704</v>
      </c>
      <c r="F1255" s="210">
        <f>D1251</f>
        <v>1241</v>
      </c>
      <c r="G1255" s="206"/>
      <c r="H1255" s="206"/>
      <c r="I1255" s="208"/>
      <c r="J1255" s="208"/>
      <c r="K1255" s="234"/>
      <c r="L1255" s="208"/>
      <c r="M1255" s="217"/>
      <c r="N1255" s="208"/>
      <c r="O1255" s="218"/>
      <c r="P1255" s="208"/>
      <c r="Q1255" s="240"/>
      <c r="R1255" s="239"/>
      <c r="S1255" s="240"/>
      <c r="T1255" s="216"/>
      <c r="U1255" s="196"/>
    </row>
    <row r="1256" spans="3:21" s="185" customFormat="1" ht="20.25" customHeight="1">
      <c r="C1256" s="198"/>
      <c r="D1256" s="203">
        <f t="shared" si="509"/>
        <v>1246</v>
      </c>
      <c r="E1256" s="207" t="s">
        <v>705</v>
      </c>
      <c r="F1256" s="211"/>
      <c r="G1256" s="206" t="s">
        <v>666</v>
      </c>
      <c r="H1256" s="206"/>
      <c r="I1256" s="224">
        <v>2.77</v>
      </c>
      <c r="J1256" s="234" t="s">
        <v>667</v>
      </c>
      <c r="K1256" s="234">
        <v>1308</v>
      </c>
      <c r="L1256" s="208" t="s">
        <v>81</v>
      </c>
      <c r="M1256" s="235">
        <f>K1256</f>
        <v>1308</v>
      </c>
      <c r="N1256" s="208" t="s">
        <v>668</v>
      </c>
      <c r="O1256" s="246">
        <f>1/60*5</f>
        <v>8.3333333333333329E-2</v>
      </c>
      <c r="P1256" s="208" t="s">
        <v>112</v>
      </c>
      <c r="Q1256" s="240">
        <f t="shared" ref="Q1256:Q1259" si="525">M1256*O1256</f>
        <v>109</v>
      </c>
      <c r="R1256" s="239">
        <v>1</v>
      </c>
      <c r="S1256" s="240">
        <f t="shared" si="520"/>
        <v>110</v>
      </c>
      <c r="T1256" s="216" t="s">
        <v>48</v>
      </c>
      <c r="U1256" s="196" t="str">
        <f t="shared" si="519"/>
        <v>110 Hrs</v>
      </c>
    </row>
    <row r="1257" spans="3:21" s="185" customFormat="1" ht="20.25" customHeight="1">
      <c r="C1257" s="198"/>
      <c r="D1257" s="203">
        <f t="shared" si="509"/>
        <v>1247</v>
      </c>
      <c r="E1257" s="207" t="s">
        <v>706</v>
      </c>
      <c r="F1257" s="211">
        <f t="shared" ref="F1257:F1259" si="526">D1256</f>
        <v>1246</v>
      </c>
      <c r="G1257" s="206" t="s">
        <v>44</v>
      </c>
      <c r="H1257" s="206"/>
      <c r="I1257" s="224">
        <v>2.77</v>
      </c>
      <c r="J1257" s="208"/>
      <c r="K1257" s="234">
        <v>1308</v>
      </c>
      <c r="L1257" s="208" t="s">
        <v>81</v>
      </c>
      <c r="M1257" s="217">
        <v>1</v>
      </c>
      <c r="N1257" s="208" t="s">
        <v>39</v>
      </c>
      <c r="O1257" s="218">
        <v>8</v>
      </c>
      <c r="P1257" s="208" t="s">
        <v>112</v>
      </c>
      <c r="Q1257" s="240">
        <f t="shared" si="525"/>
        <v>8</v>
      </c>
      <c r="R1257" s="239">
        <v>1</v>
      </c>
      <c r="S1257" s="240">
        <f t="shared" si="520"/>
        <v>9</v>
      </c>
      <c r="T1257" s="216" t="s">
        <v>48</v>
      </c>
      <c r="U1257" s="196" t="str">
        <f t="shared" si="519"/>
        <v>9 Hrs</v>
      </c>
    </row>
    <row r="1258" spans="3:21" s="185" customFormat="1" ht="20.25" customHeight="1">
      <c r="C1258" s="198"/>
      <c r="D1258" s="203">
        <f t="shared" si="509"/>
        <v>1248</v>
      </c>
      <c r="E1258" s="207" t="s">
        <v>707</v>
      </c>
      <c r="F1258" s="211">
        <f t="shared" si="526"/>
        <v>1247</v>
      </c>
      <c r="G1258" s="206" t="s">
        <v>666</v>
      </c>
      <c r="H1258" s="206"/>
      <c r="I1258" s="224">
        <v>2.77</v>
      </c>
      <c r="J1258" s="208"/>
      <c r="K1258" s="234">
        <v>1308</v>
      </c>
      <c r="L1258" s="208" t="s">
        <v>81</v>
      </c>
      <c r="M1258" s="235">
        <f>K1258</f>
        <v>1308</v>
      </c>
      <c r="N1258" s="208" t="s">
        <v>668</v>
      </c>
      <c r="O1258" s="246">
        <f>1/60*5</f>
        <v>8.3333333333333329E-2</v>
      </c>
      <c r="P1258" s="208" t="s">
        <v>112</v>
      </c>
      <c r="Q1258" s="240">
        <f t="shared" si="525"/>
        <v>109</v>
      </c>
      <c r="R1258" s="239">
        <v>1</v>
      </c>
      <c r="S1258" s="240">
        <f t="shared" si="520"/>
        <v>110</v>
      </c>
      <c r="T1258" s="216" t="s">
        <v>48</v>
      </c>
      <c r="U1258" s="196" t="str">
        <f t="shared" si="519"/>
        <v>110 Hrs</v>
      </c>
    </row>
    <row r="1259" spans="3:21" s="185" customFormat="1" ht="20.25" customHeight="1">
      <c r="C1259" s="198"/>
      <c r="D1259" s="203">
        <f t="shared" si="509"/>
        <v>1249</v>
      </c>
      <c r="E1259" s="207" t="s">
        <v>708</v>
      </c>
      <c r="F1259" s="211">
        <f t="shared" si="526"/>
        <v>1248</v>
      </c>
      <c r="G1259" s="206" t="s">
        <v>44</v>
      </c>
      <c r="H1259" s="206"/>
      <c r="I1259" s="224">
        <v>2.77</v>
      </c>
      <c r="J1259" s="208"/>
      <c r="K1259" s="234">
        <v>1308</v>
      </c>
      <c r="L1259" s="208" t="s">
        <v>81</v>
      </c>
      <c r="M1259" s="217">
        <v>1</v>
      </c>
      <c r="N1259" s="208" t="s">
        <v>39</v>
      </c>
      <c r="O1259" s="218">
        <v>8</v>
      </c>
      <c r="P1259" s="208" t="s">
        <v>112</v>
      </c>
      <c r="Q1259" s="240">
        <f t="shared" si="525"/>
        <v>8</v>
      </c>
      <c r="R1259" s="239">
        <v>1</v>
      </c>
      <c r="S1259" s="240">
        <f t="shared" si="520"/>
        <v>9</v>
      </c>
      <c r="T1259" s="216" t="s">
        <v>48</v>
      </c>
      <c r="U1259" s="196" t="str">
        <f t="shared" si="519"/>
        <v>9 Hrs</v>
      </c>
    </row>
    <row r="1260" spans="3:21" s="185" customFormat="1" ht="20.25" customHeight="1">
      <c r="C1260" s="198">
        <f>D1260</f>
        <v>1250</v>
      </c>
      <c r="D1260" s="203">
        <f t="shared" si="509"/>
        <v>1250</v>
      </c>
      <c r="E1260" s="204" t="s">
        <v>672</v>
      </c>
      <c r="F1260" s="210">
        <f>D1255</f>
        <v>1245</v>
      </c>
      <c r="G1260" s="206"/>
      <c r="H1260" s="206"/>
      <c r="I1260" s="208"/>
      <c r="J1260" s="208"/>
      <c r="K1260" s="234"/>
      <c r="L1260" s="208"/>
      <c r="M1260" s="217"/>
      <c r="N1260" s="208"/>
      <c r="O1260" s="218"/>
      <c r="P1260" s="208"/>
      <c r="Q1260" s="240"/>
      <c r="R1260" s="239"/>
      <c r="S1260" s="240"/>
      <c r="T1260" s="216"/>
      <c r="U1260" s="196"/>
    </row>
    <row r="1261" spans="3:21" s="185" customFormat="1" ht="20.25" customHeight="1">
      <c r="C1261" s="198"/>
      <c r="D1261" s="203">
        <f t="shared" si="509"/>
        <v>1251</v>
      </c>
      <c r="E1261" s="207" t="s">
        <v>709</v>
      </c>
      <c r="F1261" s="211"/>
      <c r="G1261" s="206" t="s">
        <v>666</v>
      </c>
      <c r="H1261" s="206"/>
      <c r="I1261" s="224">
        <v>2.77</v>
      </c>
      <c r="J1261" s="208"/>
      <c r="K1261" s="234">
        <v>1308</v>
      </c>
      <c r="L1261" s="208" t="s">
        <v>81</v>
      </c>
      <c r="M1261" s="235">
        <f>K1261</f>
        <v>1308</v>
      </c>
      <c r="N1261" s="208" t="s">
        <v>668</v>
      </c>
      <c r="O1261" s="246">
        <f>1/60*5</f>
        <v>8.3333333333333329E-2</v>
      </c>
      <c r="P1261" s="208" t="s">
        <v>112</v>
      </c>
      <c r="Q1261" s="240">
        <f t="shared" ref="Q1261:Q1264" si="527">M1261*O1261</f>
        <v>109</v>
      </c>
      <c r="R1261" s="239">
        <v>1</v>
      </c>
      <c r="S1261" s="240">
        <f t="shared" si="520"/>
        <v>110</v>
      </c>
      <c r="T1261" s="216" t="s">
        <v>48</v>
      </c>
      <c r="U1261" s="196" t="str">
        <f t="shared" si="519"/>
        <v>110 Hrs</v>
      </c>
    </row>
    <row r="1262" spans="3:21" s="185" customFormat="1" ht="20.25" customHeight="1">
      <c r="C1262" s="198"/>
      <c r="D1262" s="203">
        <f t="shared" si="509"/>
        <v>1252</v>
      </c>
      <c r="E1262" s="207" t="s">
        <v>710</v>
      </c>
      <c r="F1262" s="211">
        <f t="shared" ref="F1262:F1264" si="528">D1261</f>
        <v>1251</v>
      </c>
      <c r="G1262" s="206" t="s">
        <v>44</v>
      </c>
      <c r="H1262" s="206"/>
      <c r="I1262" s="224">
        <v>2.77</v>
      </c>
      <c r="J1262" s="208"/>
      <c r="K1262" s="234">
        <v>1308</v>
      </c>
      <c r="L1262" s="208" t="s">
        <v>81</v>
      </c>
      <c r="M1262" s="217">
        <v>1</v>
      </c>
      <c r="N1262" s="208" t="s">
        <v>39</v>
      </c>
      <c r="O1262" s="218">
        <v>8</v>
      </c>
      <c r="P1262" s="208" t="s">
        <v>112</v>
      </c>
      <c r="Q1262" s="240">
        <f t="shared" si="527"/>
        <v>8</v>
      </c>
      <c r="R1262" s="239">
        <v>1</v>
      </c>
      <c r="S1262" s="240">
        <f t="shared" si="520"/>
        <v>9</v>
      </c>
      <c r="T1262" s="216" t="s">
        <v>48</v>
      </c>
      <c r="U1262" s="196" t="str">
        <f t="shared" si="519"/>
        <v>9 Hrs</v>
      </c>
    </row>
    <row r="1263" spans="3:21" s="185" customFormat="1" ht="20.25" customHeight="1">
      <c r="C1263" s="198"/>
      <c r="D1263" s="203">
        <f t="shared" si="509"/>
        <v>1253</v>
      </c>
      <c r="E1263" s="207" t="s">
        <v>711</v>
      </c>
      <c r="F1263" s="211">
        <f t="shared" si="528"/>
        <v>1252</v>
      </c>
      <c r="G1263" s="206" t="s">
        <v>666</v>
      </c>
      <c r="H1263" s="206"/>
      <c r="I1263" s="224">
        <v>2.77</v>
      </c>
      <c r="J1263" s="208"/>
      <c r="K1263" s="234">
        <v>1308</v>
      </c>
      <c r="L1263" s="208" t="s">
        <v>81</v>
      </c>
      <c r="M1263" s="235">
        <f>K1263</f>
        <v>1308</v>
      </c>
      <c r="N1263" s="208" t="s">
        <v>668</v>
      </c>
      <c r="O1263" s="246">
        <f>1/60*5</f>
        <v>8.3333333333333329E-2</v>
      </c>
      <c r="P1263" s="208" t="s">
        <v>112</v>
      </c>
      <c r="Q1263" s="240">
        <f t="shared" si="527"/>
        <v>109</v>
      </c>
      <c r="R1263" s="239">
        <v>1</v>
      </c>
      <c r="S1263" s="240">
        <f t="shared" si="520"/>
        <v>110</v>
      </c>
      <c r="T1263" s="216" t="s">
        <v>48</v>
      </c>
      <c r="U1263" s="196" t="str">
        <f t="shared" si="519"/>
        <v>110 Hrs</v>
      </c>
    </row>
    <row r="1264" spans="3:21" s="185" customFormat="1" ht="20.25" customHeight="1">
      <c r="C1264" s="198"/>
      <c r="D1264" s="203">
        <f t="shared" si="509"/>
        <v>1254</v>
      </c>
      <c r="E1264" s="207" t="s">
        <v>712</v>
      </c>
      <c r="F1264" s="211">
        <f t="shared" si="528"/>
        <v>1253</v>
      </c>
      <c r="G1264" s="206" t="s">
        <v>44</v>
      </c>
      <c r="H1264" s="206"/>
      <c r="I1264" s="224">
        <v>2.77</v>
      </c>
      <c r="J1264" s="208"/>
      <c r="K1264" s="234">
        <v>1308</v>
      </c>
      <c r="L1264" s="208" t="s">
        <v>81</v>
      </c>
      <c r="M1264" s="217">
        <v>1</v>
      </c>
      <c r="N1264" s="208" t="s">
        <v>39</v>
      </c>
      <c r="O1264" s="218">
        <v>8</v>
      </c>
      <c r="P1264" s="208" t="s">
        <v>112</v>
      </c>
      <c r="Q1264" s="240">
        <f t="shared" si="527"/>
        <v>8</v>
      </c>
      <c r="R1264" s="239">
        <v>1</v>
      </c>
      <c r="S1264" s="240">
        <f t="shared" si="520"/>
        <v>9</v>
      </c>
      <c r="T1264" s="216" t="s">
        <v>48</v>
      </c>
      <c r="U1264" s="196" t="str">
        <f t="shared" si="519"/>
        <v>9 Hrs</v>
      </c>
    </row>
    <row r="1265" spans="3:21" s="185" customFormat="1" ht="20.25" customHeight="1">
      <c r="C1265" s="198">
        <f t="shared" ref="C1265:C1266" si="529">D1265</f>
        <v>1255</v>
      </c>
      <c r="D1265" s="203">
        <f t="shared" si="509"/>
        <v>1255</v>
      </c>
      <c r="E1265" s="209" t="s">
        <v>713</v>
      </c>
      <c r="F1265" s="210">
        <f>D1260</f>
        <v>1250</v>
      </c>
      <c r="G1265" s="206"/>
      <c r="H1265" s="206"/>
      <c r="I1265" s="208"/>
      <c r="J1265" s="208"/>
      <c r="K1265" s="234"/>
      <c r="L1265" s="208"/>
      <c r="M1265" s="217"/>
      <c r="N1265" s="208"/>
      <c r="O1265" s="218"/>
      <c r="P1265" s="208"/>
      <c r="Q1265" s="240"/>
      <c r="R1265" s="239"/>
      <c r="S1265" s="240"/>
      <c r="T1265" s="216"/>
      <c r="U1265" s="196"/>
    </row>
    <row r="1266" spans="3:21" s="185" customFormat="1" ht="20.25" customHeight="1">
      <c r="C1266" s="198">
        <f t="shared" si="529"/>
        <v>1256</v>
      </c>
      <c r="D1266" s="203">
        <f t="shared" si="509"/>
        <v>1256</v>
      </c>
      <c r="E1266" s="207" t="s">
        <v>678</v>
      </c>
      <c r="F1266" s="211"/>
      <c r="G1266" s="206"/>
      <c r="H1266" s="206"/>
      <c r="I1266" s="208"/>
      <c r="J1266" s="208"/>
      <c r="K1266" s="234"/>
      <c r="L1266" s="208"/>
      <c r="M1266" s="217"/>
      <c r="N1266" s="208"/>
      <c r="O1266" s="218"/>
      <c r="P1266" s="208"/>
      <c r="Q1266" s="240"/>
      <c r="R1266" s="239"/>
      <c r="S1266" s="240"/>
      <c r="T1266" s="216"/>
      <c r="U1266" s="196"/>
    </row>
    <row r="1267" spans="3:21" s="185" customFormat="1" ht="20.25" customHeight="1">
      <c r="C1267" s="198"/>
      <c r="D1267" s="203">
        <f t="shared" si="509"/>
        <v>1257</v>
      </c>
      <c r="E1267" s="207" t="s">
        <v>713</v>
      </c>
      <c r="F1267" s="211">
        <f>D1266</f>
        <v>1256</v>
      </c>
      <c r="G1267" s="206" t="s">
        <v>656</v>
      </c>
      <c r="H1267" s="206"/>
      <c r="I1267" s="208"/>
      <c r="J1267" s="234" t="s">
        <v>407</v>
      </c>
      <c r="K1267" s="234">
        <v>1</v>
      </c>
      <c r="L1267" s="208" t="s">
        <v>39</v>
      </c>
      <c r="M1267" s="217">
        <v>1</v>
      </c>
      <c r="N1267" s="208" t="s">
        <v>661</v>
      </c>
      <c r="O1267" s="218">
        <v>12</v>
      </c>
      <c r="P1267" s="208" t="s">
        <v>112</v>
      </c>
      <c r="Q1267" s="240">
        <f t="shared" ref="Q1267:Q1269" si="530">M1267*O1267</f>
        <v>12</v>
      </c>
      <c r="R1267" s="239">
        <v>1</v>
      </c>
      <c r="S1267" s="240">
        <f t="shared" si="520"/>
        <v>13</v>
      </c>
      <c r="T1267" s="216" t="s">
        <v>48</v>
      </c>
      <c r="U1267" s="196" t="str">
        <f t="shared" si="519"/>
        <v>13 Hrs</v>
      </c>
    </row>
    <row r="1268" spans="3:21" s="185" customFormat="1" ht="20.25" customHeight="1">
      <c r="C1268" s="198"/>
      <c r="D1268" s="203">
        <f t="shared" si="509"/>
        <v>1258</v>
      </c>
      <c r="E1268" s="207" t="s">
        <v>679</v>
      </c>
      <c r="F1268" s="211">
        <f t="shared" ref="F1268:F1269" si="531">D1267</f>
        <v>1257</v>
      </c>
      <c r="G1268" s="206" t="s">
        <v>348</v>
      </c>
      <c r="H1268" s="206"/>
      <c r="I1268" s="208"/>
      <c r="J1268" s="234" t="str">
        <f>J1267</f>
        <v>6130 lg</v>
      </c>
      <c r="K1268" s="234">
        <v>1</v>
      </c>
      <c r="L1268" s="208" t="s">
        <v>39</v>
      </c>
      <c r="M1268" s="217">
        <v>1</v>
      </c>
      <c r="N1268" s="208" t="s">
        <v>661</v>
      </c>
      <c r="O1268" s="218">
        <v>1</v>
      </c>
      <c r="P1268" s="208" t="s">
        <v>41</v>
      </c>
      <c r="Q1268" s="240">
        <f t="shared" si="530"/>
        <v>1</v>
      </c>
      <c r="R1268" s="239">
        <v>0</v>
      </c>
      <c r="S1268" s="240">
        <f t="shared" si="520"/>
        <v>1</v>
      </c>
      <c r="T1268" s="216" t="s">
        <v>48</v>
      </c>
      <c r="U1268" s="196" t="str">
        <f t="shared" si="519"/>
        <v>1 Hrs</v>
      </c>
    </row>
    <row r="1269" spans="3:21" s="185" customFormat="1" ht="20.25" customHeight="1">
      <c r="C1269" s="198"/>
      <c r="D1269" s="203">
        <f t="shared" si="509"/>
        <v>1259</v>
      </c>
      <c r="E1269" s="207" t="s">
        <v>680</v>
      </c>
      <c r="F1269" s="211">
        <f t="shared" si="531"/>
        <v>1258</v>
      </c>
      <c r="G1269" s="206" t="s">
        <v>640</v>
      </c>
      <c r="H1269" s="206"/>
      <c r="I1269" s="208"/>
      <c r="J1269" s="234" t="str">
        <f>J1268</f>
        <v>6130 lg</v>
      </c>
      <c r="K1269" s="234">
        <v>1</v>
      </c>
      <c r="L1269" s="208" t="s">
        <v>39</v>
      </c>
      <c r="M1269" s="217">
        <v>1</v>
      </c>
      <c r="N1269" s="208" t="s">
        <v>661</v>
      </c>
      <c r="O1269" s="218">
        <v>4</v>
      </c>
      <c r="P1269" s="208" t="s">
        <v>112</v>
      </c>
      <c r="Q1269" s="240">
        <f t="shared" si="530"/>
        <v>4</v>
      </c>
      <c r="R1269" s="239">
        <v>0</v>
      </c>
      <c r="S1269" s="240">
        <f t="shared" si="520"/>
        <v>4</v>
      </c>
      <c r="T1269" s="216" t="s">
        <v>48</v>
      </c>
      <c r="U1269" s="196" t="str">
        <f t="shared" si="519"/>
        <v>4 Hrs</v>
      </c>
    </row>
    <row r="1270" spans="3:21" s="185" customFormat="1" ht="20.25" customHeight="1">
      <c r="C1270" s="198">
        <f t="shared" ref="C1270" si="532">D1270</f>
        <v>1260</v>
      </c>
      <c r="D1270" s="203">
        <f t="shared" si="509"/>
        <v>1260</v>
      </c>
      <c r="E1270" s="204" t="s">
        <v>714</v>
      </c>
      <c r="F1270" s="210"/>
      <c r="G1270" s="206"/>
      <c r="H1270" s="206"/>
      <c r="I1270" s="208"/>
      <c r="J1270" s="208"/>
      <c r="K1270" s="234"/>
      <c r="L1270" s="208"/>
      <c r="M1270" s="217"/>
      <c r="N1270" s="208"/>
      <c r="O1270" s="218"/>
      <c r="P1270" s="208"/>
      <c r="Q1270" s="240"/>
      <c r="R1270" s="239"/>
      <c r="S1270" s="240"/>
      <c r="T1270" s="216"/>
      <c r="U1270" s="196"/>
    </row>
    <row r="1271" spans="3:21" s="185" customFormat="1" ht="20.25" customHeight="1">
      <c r="C1271" s="198"/>
      <c r="D1271" s="203">
        <f t="shared" ref="D1271:D1278" si="533">D1270+1</f>
        <v>1261</v>
      </c>
      <c r="E1271" s="207" t="s">
        <v>715</v>
      </c>
      <c r="F1271" s="211"/>
      <c r="G1271" s="206" t="s">
        <v>201</v>
      </c>
      <c r="H1271" s="206"/>
      <c r="I1271" s="208"/>
      <c r="J1271" s="208"/>
      <c r="K1271" s="234">
        <v>1</v>
      </c>
      <c r="L1271" s="208" t="s">
        <v>84</v>
      </c>
      <c r="M1271" s="217">
        <v>1</v>
      </c>
      <c r="N1271" s="208"/>
      <c r="O1271" s="218">
        <v>16</v>
      </c>
      <c r="P1271" s="208" t="s">
        <v>112</v>
      </c>
      <c r="Q1271" s="240">
        <f t="shared" ref="Q1271:Q1288" si="534">M1271*O1271</f>
        <v>16</v>
      </c>
      <c r="R1271" s="239">
        <v>1</v>
      </c>
      <c r="S1271" s="240">
        <f t="shared" si="520"/>
        <v>17</v>
      </c>
      <c r="T1271" s="216" t="s">
        <v>48</v>
      </c>
      <c r="U1271" s="196" t="str">
        <f t="shared" si="519"/>
        <v>17 Hrs</v>
      </c>
    </row>
    <row r="1272" spans="3:21" s="185" customFormat="1" ht="20.25" customHeight="1">
      <c r="C1272" s="198"/>
      <c r="D1272" s="203">
        <f t="shared" si="533"/>
        <v>1262</v>
      </c>
      <c r="E1272" s="207" t="s">
        <v>716</v>
      </c>
      <c r="F1272" s="211">
        <f>D1271</f>
        <v>1261</v>
      </c>
      <c r="G1272" s="206" t="s">
        <v>656</v>
      </c>
      <c r="H1272" s="206"/>
      <c r="I1272" s="208"/>
      <c r="J1272" s="234" t="s">
        <v>717</v>
      </c>
      <c r="K1272" s="234">
        <v>1</v>
      </c>
      <c r="L1272" s="208" t="s">
        <v>84</v>
      </c>
      <c r="M1272" s="217">
        <v>1</v>
      </c>
      <c r="N1272" s="208" t="s">
        <v>661</v>
      </c>
      <c r="O1272" s="218">
        <v>12</v>
      </c>
      <c r="P1272" s="208" t="s">
        <v>112</v>
      </c>
      <c r="Q1272" s="240">
        <f t="shared" si="534"/>
        <v>12</v>
      </c>
      <c r="R1272" s="239">
        <v>1</v>
      </c>
      <c r="S1272" s="240">
        <f t="shared" si="520"/>
        <v>13</v>
      </c>
      <c r="T1272" s="216" t="s">
        <v>48</v>
      </c>
      <c r="U1272" s="196" t="str">
        <f t="shared" si="519"/>
        <v>13 Hrs</v>
      </c>
    </row>
    <row r="1273" spans="3:21" s="185" customFormat="1" ht="20.25" customHeight="1">
      <c r="C1273" s="198"/>
      <c r="D1273" s="203">
        <f t="shared" si="533"/>
        <v>1263</v>
      </c>
      <c r="E1273" s="207" t="s">
        <v>718</v>
      </c>
      <c r="F1273" s="211">
        <f>D1272</f>
        <v>1262</v>
      </c>
      <c r="G1273" s="206" t="s">
        <v>348</v>
      </c>
      <c r="H1273" s="206"/>
      <c r="I1273" s="208"/>
      <c r="J1273" s="234" t="s">
        <v>717</v>
      </c>
      <c r="K1273" s="234">
        <v>1</v>
      </c>
      <c r="L1273" s="208" t="s">
        <v>84</v>
      </c>
      <c r="M1273" s="217">
        <v>1</v>
      </c>
      <c r="N1273" s="208" t="s">
        <v>661</v>
      </c>
      <c r="O1273" s="218">
        <v>1</v>
      </c>
      <c r="P1273" s="208" t="s">
        <v>41</v>
      </c>
      <c r="Q1273" s="240">
        <f t="shared" si="534"/>
        <v>1</v>
      </c>
      <c r="R1273" s="239">
        <v>0</v>
      </c>
      <c r="S1273" s="240">
        <f t="shared" si="520"/>
        <v>1</v>
      </c>
      <c r="T1273" s="216" t="s">
        <v>42</v>
      </c>
      <c r="U1273" s="196" t="str">
        <f t="shared" si="519"/>
        <v>1 Days</v>
      </c>
    </row>
    <row r="1274" spans="3:21" s="185" customFormat="1" ht="20.25" customHeight="1">
      <c r="C1274" s="198"/>
      <c r="D1274" s="203">
        <f t="shared" si="533"/>
        <v>1264</v>
      </c>
      <c r="E1274" s="207" t="s">
        <v>719</v>
      </c>
      <c r="F1274" s="211">
        <f>D1273</f>
        <v>1263</v>
      </c>
      <c r="G1274" s="206" t="s">
        <v>640</v>
      </c>
      <c r="H1274" s="206"/>
      <c r="I1274" s="208"/>
      <c r="J1274" s="234" t="s">
        <v>717</v>
      </c>
      <c r="K1274" s="234">
        <v>1</v>
      </c>
      <c r="L1274" s="208" t="s">
        <v>84</v>
      </c>
      <c r="M1274" s="217">
        <v>1</v>
      </c>
      <c r="N1274" s="208" t="s">
        <v>661</v>
      </c>
      <c r="O1274" s="218">
        <v>12</v>
      </c>
      <c r="P1274" s="208" t="s">
        <v>112</v>
      </c>
      <c r="Q1274" s="240">
        <f t="shared" si="534"/>
        <v>12</v>
      </c>
      <c r="R1274" s="239">
        <v>0</v>
      </c>
      <c r="S1274" s="240">
        <f t="shared" si="520"/>
        <v>12</v>
      </c>
      <c r="T1274" s="216" t="s">
        <v>48</v>
      </c>
      <c r="U1274" s="196" t="str">
        <f t="shared" si="519"/>
        <v>12 Hrs</v>
      </c>
    </row>
    <row r="1275" spans="3:21" s="185" customFormat="1" ht="20.25" customHeight="1">
      <c r="C1275" s="198"/>
      <c r="D1275" s="203">
        <f t="shared" si="533"/>
        <v>1265</v>
      </c>
      <c r="E1275" s="207" t="s">
        <v>720</v>
      </c>
      <c r="F1275" s="211">
        <f>D1274</f>
        <v>1264</v>
      </c>
      <c r="G1275" s="206" t="s">
        <v>640</v>
      </c>
      <c r="H1275" s="206"/>
      <c r="I1275" s="208"/>
      <c r="J1275" s="234" t="s">
        <v>717</v>
      </c>
      <c r="K1275" s="234">
        <v>1</v>
      </c>
      <c r="L1275" s="208" t="s">
        <v>84</v>
      </c>
      <c r="M1275" s="217">
        <v>1</v>
      </c>
      <c r="N1275" s="208" t="s">
        <v>661</v>
      </c>
      <c r="O1275" s="218">
        <v>1</v>
      </c>
      <c r="P1275" s="208" t="s">
        <v>41</v>
      </c>
      <c r="Q1275" s="240">
        <f t="shared" si="534"/>
        <v>1</v>
      </c>
      <c r="R1275" s="239">
        <v>0</v>
      </c>
      <c r="S1275" s="240">
        <f t="shared" si="520"/>
        <v>1</v>
      </c>
      <c r="T1275" s="216" t="s">
        <v>42</v>
      </c>
      <c r="U1275" s="196" t="str">
        <f t="shared" si="519"/>
        <v>1 Days</v>
      </c>
    </row>
    <row r="1276" spans="3:21" s="185" customFormat="1" ht="20.25" customHeight="1">
      <c r="C1276" s="198"/>
      <c r="D1276" s="203">
        <f t="shared" si="533"/>
        <v>1266</v>
      </c>
      <c r="E1276" s="207" t="s">
        <v>721</v>
      </c>
      <c r="F1276" s="211">
        <f>D1275</f>
        <v>1265</v>
      </c>
      <c r="G1276" s="206" t="s">
        <v>640</v>
      </c>
      <c r="H1276" s="206"/>
      <c r="I1276" s="208"/>
      <c r="J1276" s="234" t="s">
        <v>717</v>
      </c>
      <c r="K1276" s="234">
        <v>1</v>
      </c>
      <c r="L1276" s="208" t="s">
        <v>84</v>
      </c>
      <c r="M1276" s="217">
        <v>1</v>
      </c>
      <c r="N1276" s="208" t="s">
        <v>661</v>
      </c>
      <c r="O1276" s="218">
        <v>6</v>
      </c>
      <c r="P1276" s="208" t="s">
        <v>112</v>
      </c>
      <c r="Q1276" s="240">
        <f t="shared" si="534"/>
        <v>6</v>
      </c>
      <c r="R1276" s="239">
        <v>0</v>
      </c>
      <c r="S1276" s="240">
        <f t="shared" si="520"/>
        <v>6</v>
      </c>
      <c r="T1276" s="216" t="s">
        <v>48</v>
      </c>
      <c r="U1276" s="196" t="str">
        <f t="shared" si="519"/>
        <v>6 Hrs</v>
      </c>
    </row>
    <row r="1277" spans="3:21" s="185" customFormat="1" ht="21" customHeight="1">
      <c r="C1277" s="198">
        <f>D1277</f>
        <v>1267</v>
      </c>
      <c r="D1277" s="203">
        <f t="shared" si="533"/>
        <v>1267</v>
      </c>
      <c r="E1277" s="204" t="s">
        <v>722</v>
      </c>
      <c r="F1277" s="210">
        <f>D1270</f>
        <v>1260</v>
      </c>
      <c r="G1277" s="206"/>
      <c r="H1277" s="206"/>
      <c r="I1277" s="208"/>
      <c r="J1277" s="208"/>
      <c r="K1277" s="234"/>
      <c r="L1277" s="208"/>
      <c r="M1277" s="217"/>
      <c r="N1277" s="208"/>
      <c r="O1277" s="218"/>
      <c r="P1277" s="208"/>
      <c r="Q1277" s="240"/>
      <c r="R1277" s="239"/>
      <c r="S1277" s="240"/>
      <c r="T1277" s="216"/>
      <c r="U1277" s="196"/>
    </row>
    <row r="1278" spans="3:21" s="185" customFormat="1" ht="21" customHeight="1">
      <c r="C1278" s="198"/>
      <c r="D1278" s="203">
        <f t="shared" si="533"/>
        <v>1268</v>
      </c>
      <c r="E1278" s="207" t="s">
        <v>723</v>
      </c>
      <c r="F1278" s="211"/>
      <c r="G1278" s="206" t="s">
        <v>640</v>
      </c>
      <c r="H1278" s="206"/>
      <c r="I1278" s="208"/>
      <c r="J1278" s="234" t="s">
        <v>717</v>
      </c>
      <c r="K1278" s="234">
        <v>1</v>
      </c>
      <c r="L1278" s="208" t="s">
        <v>84</v>
      </c>
      <c r="M1278" s="217">
        <v>1</v>
      </c>
      <c r="N1278" s="208" t="s">
        <v>661</v>
      </c>
      <c r="O1278" s="218">
        <v>16</v>
      </c>
      <c r="P1278" s="208" t="s">
        <v>112</v>
      </c>
      <c r="Q1278" s="240">
        <f t="shared" ref="Q1278" si="535">M1278*O1278</f>
        <v>16</v>
      </c>
      <c r="R1278" s="239">
        <v>0</v>
      </c>
      <c r="S1278" s="240">
        <f t="shared" si="520"/>
        <v>16</v>
      </c>
      <c r="T1278" s="216" t="s">
        <v>48</v>
      </c>
      <c r="U1278" s="196" t="str">
        <f t="shared" si="519"/>
        <v>16 Hrs</v>
      </c>
    </row>
    <row r="1279" spans="3:21" s="185" customFormat="1" ht="20.25" customHeight="1">
      <c r="C1279" s="198"/>
      <c r="D1279" s="203">
        <f t="shared" ref="D1279:D1288" si="536">D1278+1</f>
        <v>1269</v>
      </c>
      <c r="E1279" s="207" t="s">
        <v>718</v>
      </c>
      <c r="F1279" s="211">
        <f>D1278</f>
        <v>1268</v>
      </c>
      <c r="G1279" s="206" t="s">
        <v>640</v>
      </c>
      <c r="H1279" s="206"/>
      <c r="I1279" s="208"/>
      <c r="J1279" s="234" t="s">
        <v>717</v>
      </c>
      <c r="K1279" s="234">
        <v>1</v>
      </c>
      <c r="L1279" s="208" t="s">
        <v>84</v>
      </c>
      <c r="M1279" s="217">
        <v>1</v>
      </c>
      <c r="N1279" s="208" t="s">
        <v>661</v>
      </c>
      <c r="O1279" s="218">
        <v>6</v>
      </c>
      <c r="P1279" s="208" t="s">
        <v>112</v>
      </c>
      <c r="Q1279" s="240">
        <f t="shared" si="534"/>
        <v>6</v>
      </c>
      <c r="R1279" s="239">
        <v>0</v>
      </c>
      <c r="S1279" s="240">
        <f t="shared" si="520"/>
        <v>6</v>
      </c>
      <c r="T1279" s="216" t="s">
        <v>48</v>
      </c>
      <c r="U1279" s="196" t="str">
        <f t="shared" si="519"/>
        <v>6 Hrs</v>
      </c>
    </row>
    <row r="1280" spans="3:21" s="185" customFormat="1" ht="20.25" customHeight="1">
      <c r="C1280" s="198"/>
      <c r="D1280" s="203">
        <f t="shared" si="536"/>
        <v>1270</v>
      </c>
      <c r="E1280" s="207" t="s">
        <v>722</v>
      </c>
      <c r="F1280" s="211">
        <f>D1279</f>
        <v>1269</v>
      </c>
      <c r="G1280" s="206" t="s">
        <v>640</v>
      </c>
      <c r="H1280" s="206"/>
      <c r="I1280" s="208"/>
      <c r="J1280" s="234" t="s">
        <v>717</v>
      </c>
      <c r="K1280" s="234">
        <v>1</v>
      </c>
      <c r="L1280" s="208" t="s">
        <v>84</v>
      </c>
      <c r="M1280" s="217">
        <v>1</v>
      </c>
      <c r="N1280" s="208" t="s">
        <v>661</v>
      </c>
      <c r="O1280" s="218">
        <v>12</v>
      </c>
      <c r="P1280" s="208" t="s">
        <v>112</v>
      </c>
      <c r="Q1280" s="240">
        <f t="shared" si="534"/>
        <v>12</v>
      </c>
      <c r="R1280" s="239">
        <v>0</v>
      </c>
      <c r="S1280" s="240">
        <f t="shared" si="520"/>
        <v>12</v>
      </c>
      <c r="T1280" s="216" t="s">
        <v>48</v>
      </c>
      <c r="U1280" s="196" t="str">
        <f t="shared" si="519"/>
        <v>12 Hrs</v>
      </c>
    </row>
    <row r="1281" spans="3:21" s="185" customFormat="1" ht="20.25" customHeight="1">
      <c r="C1281" s="198"/>
      <c r="D1281" s="203">
        <f t="shared" si="536"/>
        <v>1271</v>
      </c>
      <c r="E1281" s="207" t="s">
        <v>724</v>
      </c>
      <c r="F1281" s="211">
        <f t="shared" ref="F1281:F1282" si="537">D1280</f>
        <v>1270</v>
      </c>
      <c r="G1281" s="206" t="s">
        <v>640</v>
      </c>
      <c r="H1281" s="206"/>
      <c r="I1281" s="208"/>
      <c r="J1281" s="234" t="s">
        <v>717</v>
      </c>
      <c r="K1281" s="234">
        <v>1</v>
      </c>
      <c r="L1281" s="208" t="s">
        <v>84</v>
      </c>
      <c r="M1281" s="217">
        <v>1</v>
      </c>
      <c r="N1281" s="208" t="s">
        <v>661</v>
      </c>
      <c r="O1281" s="218">
        <v>1</v>
      </c>
      <c r="P1281" s="208" t="s">
        <v>41</v>
      </c>
      <c r="Q1281" s="240">
        <f t="shared" si="534"/>
        <v>1</v>
      </c>
      <c r="R1281" s="239">
        <v>0</v>
      </c>
      <c r="S1281" s="240">
        <f t="shared" si="520"/>
        <v>1</v>
      </c>
      <c r="T1281" s="216" t="s">
        <v>42</v>
      </c>
      <c r="U1281" s="196" t="str">
        <f t="shared" si="519"/>
        <v>1 Days</v>
      </c>
    </row>
    <row r="1282" spans="3:21" s="185" customFormat="1" ht="20.25" customHeight="1">
      <c r="C1282" s="198"/>
      <c r="D1282" s="203">
        <f t="shared" si="536"/>
        <v>1272</v>
      </c>
      <c r="E1282" s="207" t="s">
        <v>721</v>
      </c>
      <c r="F1282" s="211">
        <f t="shared" si="537"/>
        <v>1271</v>
      </c>
      <c r="G1282" s="206" t="s">
        <v>640</v>
      </c>
      <c r="H1282" s="206"/>
      <c r="I1282" s="208"/>
      <c r="J1282" s="234" t="s">
        <v>717</v>
      </c>
      <c r="K1282" s="234">
        <v>1</v>
      </c>
      <c r="L1282" s="208" t="s">
        <v>84</v>
      </c>
      <c r="M1282" s="217">
        <v>1</v>
      </c>
      <c r="N1282" s="208" t="s">
        <v>661</v>
      </c>
      <c r="O1282" s="218">
        <v>6</v>
      </c>
      <c r="P1282" s="208" t="s">
        <v>112</v>
      </c>
      <c r="Q1282" s="240">
        <f t="shared" si="534"/>
        <v>6</v>
      </c>
      <c r="R1282" s="239">
        <v>0</v>
      </c>
      <c r="S1282" s="240">
        <f t="shared" si="520"/>
        <v>6</v>
      </c>
      <c r="T1282" s="216" t="s">
        <v>48</v>
      </c>
      <c r="U1282" s="196" t="str">
        <f t="shared" si="519"/>
        <v>6 Hrs</v>
      </c>
    </row>
    <row r="1283" spans="3:21" s="185" customFormat="1" ht="20.25" customHeight="1">
      <c r="C1283" s="198">
        <f>D1283</f>
        <v>1273</v>
      </c>
      <c r="D1283" s="203">
        <f t="shared" si="536"/>
        <v>1273</v>
      </c>
      <c r="E1283" s="204" t="s">
        <v>725</v>
      </c>
      <c r="F1283" s="210">
        <f>C1277</f>
        <v>1267</v>
      </c>
      <c r="G1283" s="206"/>
      <c r="H1283" s="206"/>
      <c r="I1283" s="208"/>
      <c r="J1283" s="208"/>
      <c r="K1283" s="234"/>
      <c r="L1283" s="208"/>
      <c r="M1283" s="217"/>
      <c r="N1283" s="208"/>
      <c r="O1283" s="218"/>
      <c r="P1283" s="208"/>
      <c r="Q1283" s="240"/>
      <c r="R1283" s="239"/>
      <c r="S1283" s="240"/>
      <c r="T1283" s="216"/>
      <c r="U1283" s="196"/>
    </row>
    <row r="1284" spans="3:21" s="185" customFormat="1" ht="20.25" customHeight="1">
      <c r="C1284" s="198"/>
      <c r="D1284" s="203">
        <f t="shared" si="536"/>
        <v>1274</v>
      </c>
      <c r="E1284" s="206" t="s">
        <v>726</v>
      </c>
      <c r="F1284" s="211"/>
      <c r="G1284" s="206" t="s">
        <v>640</v>
      </c>
      <c r="H1284" s="206"/>
      <c r="I1284" s="208"/>
      <c r="J1284" s="234" t="s">
        <v>717</v>
      </c>
      <c r="K1284" s="234">
        <v>1</v>
      </c>
      <c r="L1284" s="208" t="s">
        <v>84</v>
      </c>
      <c r="M1284" s="217">
        <v>1</v>
      </c>
      <c r="N1284" s="208" t="s">
        <v>661</v>
      </c>
      <c r="O1284" s="218">
        <v>12</v>
      </c>
      <c r="P1284" s="208" t="s">
        <v>112</v>
      </c>
      <c r="Q1284" s="240">
        <f t="shared" si="534"/>
        <v>12</v>
      </c>
      <c r="R1284" s="239">
        <v>0</v>
      </c>
      <c r="S1284" s="240">
        <f t="shared" si="520"/>
        <v>12</v>
      </c>
      <c r="T1284" s="216" t="s">
        <v>48</v>
      </c>
      <c r="U1284" s="196" t="str">
        <f t="shared" si="519"/>
        <v>12 Hrs</v>
      </c>
    </row>
    <row r="1285" spans="3:21" s="185" customFormat="1" ht="20.25" customHeight="1">
      <c r="C1285" s="198">
        <f>D1285</f>
        <v>1275</v>
      </c>
      <c r="D1285" s="203">
        <f t="shared" si="536"/>
        <v>1275</v>
      </c>
      <c r="E1285" s="204" t="s">
        <v>727</v>
      </c>
      <c r="F1285" s="210">
        <f>C1283</f>
        <v>1273</v>
      </c>
      <c r="G1285" s="206"/>
      <c r="H1285" s="206"/>
      <c r="I1285" s="208"/>
      <c r="J1285" s="208"/>
      <c r="K1285" s="234"/>
      <c r="L1285" s="208"/>
      <c r="M1285" s="217"/>
      <c r="N1285" s="208"/>
      <c r="O1285" s="218"/>
      <c r="P1285" s="208"/>
      <c r="Q1285" s="240"/>
      <c r="R1285" s="239"/>
      <c r="S1285" s="240"/>
      <c r="T1285" s="216"/>
      <c r="U1285" s="196"/>
    </row>
    <row r="1286" spans="3:21" s="185" customFormat="1" ht="20.25" customHeight="1">
      <c r="C1286" s="198"/>
      <c r="D1286" s="203">
        <f t="shared" si="536"/>
        <v>1276</v>
      </c>
      <c r="E1286" s="206" t="s">
        <v>728</v>
      </c>
      <c r="F1286" s="211"/>
      <c r="G1286" s="206" t="s">
        <v>640</v>
      </c>
      <c r="H1286" s="206"/>
      <c r="I1286" s="208"/>
      <c r="J1286" s="234" t="s">
        <v>717</v>
      </c>
      <c r="K1286" s="234">
        <v>1</v>
      </c>
      <c r="L1286" s="208" t="s">
        <v>84</v>
      </c>
      <c r="M1286" s="217">
        <v>1</v>
      </c>
      <c r="N1286" s="208" t="s">
        <v>661</v>
      </c>
      <c r="O1286" s="218">
        <v>1</v>
      </c>
      <c r="P1286" s="208" t="s">
        <v>41</v>
      </c>
      <c r="Q1286" s="240">
        <f t="shared" si="534"/>
        <v>1</v>
      </c>
      <c r="R1286" s="239">
        <v>0</v>
      </c>
      <c r="S1286" s="240">
        <f t="shared" si="520"/>
        <v>1</v>
      </c>
      <c r="T1286" s="216" t="s">
        <v>42</v>
      </c>
      <c r="U1286" s="196" t="str">
        <f t="shared" si="519"/>
        <v>1 Days</v>
      </c>
    </row>
    <row r="1287" spans="3:21" s="185" customFormat="1" ht="20.25" customHeight="1">
      <c r="C1287" s="198"/>
      <c r="D1287" s="203">
        <f t="shared" si="536"/>
        <v>1277</v>
      </c>
      <c r="E1287" s="206" t="s">
        <v>729</v>
      </c>
      <c r="F1287" s="211">
        <f>D1286</f>
        <v>1276</v>
      </c>
      <c r="G1287" s="206" t="s">
        <v>640</v>
      </c>
      <c r="H1287" s="206"/>
      <c r="I1287" s="208"/>
      <c r="J1287" s="234" t="s">
        <v>717</v>
      </c>
      <c r="K1287" s="234">
        <v>1</v>
      </c>
      <c r="L1287" s="208" t="s">
        <v>84</v>
      </c>
      <c r="M1287" s="217">
        <v>1</v>
      </c>
      <c r="N1287" s="208" t="s">
        <v>661</v>
      </c>
      <c r="O1287" s="218">
        <v>1</v>
      </c>
      <c r="P1287" s="208" t="s">
        <v>41</v>
      </c>
      <c r="Q1287" s="240">
        <f t="shared" si="534"/>
        <v>1</v>
      </c>
      <c r="R1287" s="239">
        <v>0</v>
      </c>
      <c r="S1287" s="240">
        <f t="shared" si="520"/>
        <v>1</v>
      </c>
      <c r="T1287" s="216" t="s">
        <v>42</v>
      </c>
      <c r="U1287" s="196" t="str">
        <f t="shared" si="519"/>
        <v>1 Days</v>
      </c>
    </row>
    <row r="1288" spans="3:21" s="185" customFormat="1" ht="20.25" customHeight="1">
      <c r="C1288" s="198"/>
      <c r="D1288" s="203">
        <f t="shared" si="536"/>
        <v>1278</v>
      </c>
      <c r="E1288" s="206" t="s">
        <v>730</v>
      </c>
      <c r="F1288" s="211">
        <f>D1287</f>
        <v>1277</v>
      </c>
      <c r="G1288" s="206" t="s">
        <v>640</v>
      </c>
      <c r="H1288" s="206"/>
      <c r="I1288" s="208"/>
      <c r="J1288" s="234" t="s">
        <v>717</v>
      </c>
      <c r="K1288" s="234">
        <v>1</v>
      </c>
      <c r="L1288" s="208" t="s">
        <v>84</v>
      </c>
      <c r="M1288" s="217">
        <v>1</v>
      </c>
      <c r="N1288" s="208" t="s">
        <v>661</v>
      </c>
      <c r="O1288" s="218">
        <v>1</v>
      </c>
      <c r="P1288" s="208" t="s">
        <v>41</v>
      </c>
      <c r="Q1288" s="240">
        <f t="shared" si="534"/>
        <v>1</v>
      </c>
      <c r="R1288" s="239">
        <v>0</v>
      </c>
      <c r="S1288" s="240">
        <f t="shared" si="520"/>
        <v>1</v>
      </c>
      <c r="T1288" s="216" t="s">
        <v>42</v>
      </c>
      <c r="U1288" s="196" t="str">
        <f t="shared" si="519"/>
        <v>1 Days</v>
      </c>
    </row>
    <row r="1289" spans="3:21" ht="20.25" customHeight="1">
      <c r="F1289" s="191"/>
    </row>
    <row r="1290" spans="3:21" ht="20.25" customHeight="1">
      <c r="F1290" s="191"/>
    </row>
    <row r="1291" spans="3:21" ht="20.25" customHeight="1">
      <c r="F1291" s="191"/>
    </row>
    <row r="1292" spans="3:21" ht="20.25" customHeight="1">
      <c r="F1292" s="191"/>
    </row>
    <row r="1293" spans="3:21" ht="20.25" customHeight="1">
      <c r="F1293" s="191"/>
    </row>
    <row r="1294" spans="3:21" ht="20.25" customHeight="1">
      <c r="F1294" s="191"/>
    </row>
    <row r="1295" spans="3:21" ht="20.25" customHeight="1">
      <c r="F1295" s="191"/>
    </row>
    <row r="1296" spans="3:21" ht="20.25" customHeight="1">
      <c r="F1296" s="191"/>
    </row>
    <row r="1297" spans="6:6" ht="20.25" customHeight="1">
      <c r="F1297" s="191"/>
    </row>
    <row r="1298" spans="6:6" ht="20.25" customHeight="1">
      <c r="F1298" s="191"/>
    </row>
    <row r="1299" spans="6:6" ht="20.25" customHeight="1">
      <c r="F1299" s="191"/>
    </row>
    <row r="1300" spans="6:6" ht="20.25" customHeight="1">
      <c r="F1300" s="191"/>
    </row>
    <row r="1301" spans="6:6" ht="20.25" customHeight="1">
      <c r="F1301" s="191"/>
    </row>
    <row r="1302" spans="6:6" ht="20.25" customHeight="1">
      <c r="F1302" s="191"/>
    </row>
    <row r="1303" spans="6:6" ht="20.25" customHeight="1">
      <c r="F1303" s="191"/>
    </row>
    <row r="1304" spans="6:6" ht="20.25" customHeight="1">
      <c r="F1304" s="191"/>
    </row>
    <row r="1305" spans="6:6" ht="20.25" customHeight="1">
      <c r="F1305" s="191"/>
    </row>
    <row r="1306" spans="6:6" ht="20.25" customHeight="1">
      <c r="F1306" s="191"/>
    </row>
    <row r="1307" spans="6:6" ht="20.25" customHeight="1">
      <c r="F1307" s="191"/>
    </row>
    <row r="1308" spans="6:6" ht="20.25" customHeight="1">
      <c r="F1308" s="191"/>
    </row>
    <row r="1309" spans="6:6" ht="20.25" customHeight="1">
      <c r="F1309" s="191"/>
    </row>
    <row r="1310" spans="6:6" ht="20.25" customHeight="1">
      <c r="F1310" s="191"/>
    </row>
    <row r="1311" spans="6:6" ht="20.25" customHeight="1">
      <c r="F1311" s="191"/>
    </row>
    <row r="1312" spans="6:6" ht="20.25" customHeight="1">
      <c r="F1312" s="191"/>
    </row>
    <row r="1313" spans="6:6" ht="20.25" customHeight="1">
      <c r="F1313" s="191"/>
    </row>
    <row r="1314" spans="6:6" ht="20.25" customHeight="1">
      <c r="F1314" s="191"/>
    </row>
    <row r="1315" spans="6:6" ht="20.25" customHeight="1">
      <c r="F1315" s="191"/>
    </row>
    <row r="1316" spans="6:6" ht="20.25" customHeight="1">
      <c r="F1316" s="191"/>
    </row>
    <row r="1317" spans="6:6" ht="20.25" customHeight="1">
      <c r="F1317" s="191"/>
    </row>
    <row r="1318" spans="6:6" ht="20.25" customHeight="1">
      <c r="F1318" s="191"/>
    </row>
    <row r="1319" spans="6:6" ht="20.25" customHeight="1">
      <c r="F1319" s="191"/>
    </row>
    <row r="1320" spans="6:6" ht="20.25" customHeight="1">
      <c r="F1320" s="191"/>
    </row>
    <row r="1321" spans="6:6" ht="20.25" customHeight="1">
      <c r="F1321" s="191"/>
    </row>
    <row r="1322" spans="6:6" ht="20.25" customHeight="1">
      <c r="F1322" s="191"/>
    </row>
    <row r="1323" spans="6:6" ht="20.25" customHeight="1">
      <c r="F1323" s="191"/>
    </row>
    <row r="1324" spans="6:6" ht="20.25" customHeight="1">
      <c r="F1324" s="191"/>
    </row>
    <row r="1325" spans="6:6" ht="20.25" customHeight="1">
      <c r="F1325" s="191"/>
    </row>
    <row r="1326" spans="6:6" ht="20.25" customHeight="1">
      <c r="F1326" s="191"/>
    </row>
    <row r="1327" spans="6:6" ht="20.25" customHeight="1">
      <c r="F1327" s="191"/>
    </row>
    <row r="1328" spans="6:6" ht="20.25" customHeight="1">
      <c r="F1328" s="191"/>
    </row>
    <row r="1329" spans="6:6" ht="20.25" customHeight="1">
      <c r="F1329" s="191"/>
    </row>
    <row r="1330" spans="6:6" ht="20.25" customHeight="1">
      <c r="F1330" s="191"/>
    </row>
    <row r="1331" spans="6:6" ht="20.25" customHeight="1">
      <c r="F1331" s="191"/>
    </row>
  </sheetData>
  <sheetProtection formatCells="0" formatColumns="0" formatRows="0" insertColumns="0" insertRows="0" insertHyperlinks="0" deleteColumns="0" deleteRows="0" sort="0" autoFilter="0" pivotTables="0"/>
  <autoFilter ref="S1:S1331"/>
  <pageMargins left="0.41944444444444401" right="0.27916666666666701" top="0.75" bottom="0.3" header="0.3" footer="0.3"/>
  <pageSetup paperSize="9" scale="80" orientation="landscape"/>
  <headerFooter>
    <oddFooter>&amp;C
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289"/>
  <sheetViews>
    <sheetView showGridLines="0" topLeftCell="C1276" zoomScale="90" zoomScaleNormal="90" workbookViewId="0">
      <selection activeCell="C1287" sqref="C1287"/>
    </sheetView>
  </sheetViews>
  <sheetFormatPr defaultColWidth="9" defaultRowHeight="20.25" customHeight="1"/>
  <cols>
    <col min="1" max="1" width="6.86328125" style="100" customWidth="1"/>
    <col min="2" max="2" width="4.86328125" style="100" customWidth="1"/>
    <col min="3" max="3" width="6.3984375" style="101" customWidth="1"/>
    <col min="4" max="4" width="6.3984375" style="102" customWidth="1"/>
    <col min="5" max="5" width="43.3984375" style="103" customWidth="1"/>
    <col min="6" max="6" width="15" style="104" customWidth="1"/>
    <col min="7" max="7" width="14.86328125" style="105" customWidth="1"/>
    <col min="8" max="8" width="8.59765625" style="105" customWidth="1"/>
    <col min="9" max="9" width="8.265625" style="104" customWidth="1"/>
    <col min="10" max="10" width="13.86328125" style="104" customWidth="1"/>
    <col min="11" max="11" width="5.59765625" style="106" customWidth="1"/>
    <col min="12" max="12" width="6" style="104" customWidth="1"/>
    <col min="13" max="13" width="10.1328125" style="107" customWidth="1"/>
    <col min="14" max="14" width="8.73046875" style="104" customWidth="1"/>
    <col min="15" max="15" width="8.3984375" style="104" customWidth="1"/>
    <col min="16" max="16" width="7" style="104" customWidth="1"/>
    <col min="17" max="17" width="9.86328125" style="104" customWidth="1"/>
    <col min="18" max="18" width="5" style="108" customWidth="1"/>
    <col min="19" max="19" width="11.3984375" style="104" customWidth="1"/>
    <col min="20" max="20" width="5.73046875" style="106" customWidth="1"/>
    <col min="21" max="16367" width="9" style="100"/>
  </cols>
  <sheetData>
    <row r="1" spans="3:20" s="99" customFormat="1" ht="34.5" customHeight="1">
      <c r="C1" s="109">
        <f>D1</f>
        <v>1</v>
      </c>
      <c r="D1" s="110">
        <v>1</v>
      </c>
      <c r="E1" s="111" t="s">
        <v>0</v>
      </c>
      <c r="F1" s="112"/>
      <c r="G1" s="113"/>
      <c r="H1" s="114" t="s">
        <v>1</v>
      </c>
      <c r="I1" s="111" t="s">
        <v>2</v>
      </c>
      <c r="J1" s="111" t="s">
        <v>3</v>
      </c>
      <c r="K1" s="127" t="s">
        <v>4</v>
      </c>
      <c r="L1" s="127" t="s">
        <v>5</v>
      </c>
      <c r="M1" s="128" t="s">
        <v>6</v>
      </c>
      <c r="N1" s="111" t="s">
        <v>5</v>
      </c>
      <c r="O1" s="129" t="s">
        <v>7</v>
      </c>
      <c r="P1" s="111" t="s">
        <v>5</v>
      </c>
      <c r="Q1" s="156" t="s">
        <v>8</v>
      </c>
      <c r="R1" s="157" t="s">
        <v>9</v>
      </c>
      <c r="S1" s="158" t="s">
        <v>10</v>
      </c>
      <c r="T1" s="159" t="s">
        <v>5</v>
      </c>
    </row>
    <row r="2" spans="3:20" ht="20.25" customHeight="1">
      <c r="C2" s="109">
        <f>D2</f>
        <v>2</v>
      </c>
      <c r="D2" s="115">
        <f>D1+1</f>
        <v>2</v>
      </c>
      <c r="E2" s="116" t="s">
        <v>11</v>
      </c>
      <c r="F2" s="117"/>
      <c r="G2" s="118"/>
      <c r="H2" s="118"/>
      <c r="I2" s="117"/>
      <c r="J2" s="117"/>
      <c r="K2" s="130"/>
      <c r="L2" s="131"/>
      <c r="M2" s="132"/>
      <c r="N2" s="117"/>
      <c r="O2" s="133"/>
      <c r="P2" s="117"/>
      <c r="Q2" s="160"/>
      <c r="R2" s="161"/>
      <c r="S2" s="160"/>
      <c r="T2" s="162"/>
    </row>
    <row r="3" spans="3:20" ht="20.25" customHeight="1">
      <c r="C3" s="109">
        <f t="shared" ref="C3:C26" si="0">D3</f>
        <v>3</v>
      </c>
      <c r="D3" s="115">
        <f t="shared" ref="D3:D66" si="1">D2+1</f>
        <v>3</v>
      </c>
      <c r="E3" s="119" t="s">
        <v>731</v>
      </c>
      <c r="F3" s="117"/>
      <c r="G3" s="118"/>
      <c r="H3" s="118"/>
      <c r="I3" s="117"/>
      <c r="J3" s="117"/>
      <c r="K3" s="130"/>
      <c r="L3" s="131"/>
      <c r="M3" s="132"/>
      <c r="N3" s="117"/>
      <c r="O3" s="133"/>
      <c r="P3" s="117"/>
      <c r="Q3" s="160"/>
      <c r="R3" s="161"/>
      <c r="S3" s="160"/>
      <c r="T3" s="162"/>
    </row>
    <row r="4" spans="3:20" ht="20.25" customHeight="1">
      <c r="C4" s="109">
        <f t="shared" si="0"/>
        <v>4</v>
      </c>
      <c r="D4" s="115">
        <f t="shared" si="1"/>
        <v>4</v>
      </c>
      <c r="E4" s="119" t="s">
        <v>732</v>
      </c>
      <c r="F4" s="117"/>
      <c r="G4" s="118"/>
      <c r="H4" s="118"/>
      <c r="I4" s="117"/>
      <c r="J4" s="117"/>
      <c r="K4" s="130"/>
      <c r="L4" s="131"/>
      <c r="M4" s="132"/>
      <c r="N4" s="117"/>
      <c r="O4" s="133"/>
      <c r="P4" s="117"/>
      <c r="Q4" s="160"/>
      <c r="R4" s="161"/>
      <c r="S4" s="160"/>
      <c r="T4" s="162"/>
    </row>
    <row r="5" spans="3:20" ht="20.25" customHeight="1">
      <c r="C5" s="109">
        <f t="shared" si="0"/>
        <v>5</v>
      </c>
      <c r="D5" s="115">
        <f t="shared" si="1"/>
        <v>5</v>
      </c>
      <c r="E5" s="119" t="s">
        <v>733</v>
      </c>
      <c r="F5" s="117"/>
      <c r="G5" s="118"/>
      <c r="H5" s="118"/>
      <c r="I5" s="117"/>
      <c r="J5" s="117"/>
      <c r="K5" s="130"/>
      <c r="L5" s="131"/>
      <c r="M5" s="132"/>
      <c r="N5" s="117"/>
      <c r="O5" s="133"/>
      <c r="P5" s="117"/>
      <c r="Q5" s="160"/>
      <c r="R5" s="161"/>
      <c r="S5" s="160"/>
      <c r="T5" s="162"/>
    </row>
    <row r="6" spans="3:20" ht="20.25" customHeight="1">
      <c r="C6" s="109">
        <f t="shared" si="0"/>
        <v>6</v>
      </c>
      <c r="D6" s="115">
        <f t="shared" si="1"/>
        <v>6</v>
      </c>
      <c r="E6" s="119" t="s">
        <v>734</v>
      </c>
      <c r="F6" s="117"/>
      <c r="G6" s="118"/>
      <c r="H6" s="118"/>
      <c r="I6" s="117"/>
      <c r="J6" s="117"/>
      <c r="K6" s="130"/>
      <c r="L6" s="131"/>
      <c r="M6" s="132"/>
      <c r="N6" s="117"/>
      <c r="O6" s="133"/>
      <c r="P6" s="117"/>
      <c r="Q6" s="160"/>
      <c r="R6" s="161"/>
      <c r="S6" s="160"/>
      <c r="T6" s="162"/>
    </row>
    <row r="7" spans="3:20" ht="20.25" customHeight="1">
      <c r="C7" s="109">
        <f t="shared" si="0"/>
        <v>7</v>
      </c>
      <c r="D7" s="115">
        <f t="shared" si="1"/>
        <v>7</v>
      </c>
      <c r="E7" s="119" t="s">
        <v>16</v>
      </c>
      <c r="F7" s="117"/>
      <c r="G7" s="118"/>
      <c r="H7" s="118"/>
      <c r="I7" s="117"/>
      <c r="J7" s="117"/>
      <c r="K7" s="130"/>
      <c r="L7" s="131"/>
      <c r="M7" s="132"/>
      <c r="N7" s="117"/>
      <c r="O7" s="133"/>
      <c r="P7" s="117"/>
      <c r="Q7" s="160"/>
      <c r="R7" s="161"/>
      <c r="S7" s="160"/>
      <c r="T7" s="162"/>
    </row>
    <row r="8" spans="3:20" ht="20.25" customHeight="1">
      <c r="C8" s="109">
        <f t="shared" si="0"/>
        <v>8</v>
      </c>
      <c r="D8" s="115">
        <f t="shared" si="1"/>
        <v>8</v>
      </c>
      <c r="E8" s="119" t="s">
        <v>17</v>
      </c>
      <c r="F8" s="117"/>
      <c r="G8" s="118"/>
      <c r="H8" s="118"/>
      <c r="I8" s="117"/>
      <c r="J8" s="117"/>
      <c r="K8" s="130"/>
      <c r="L8" s="131"/>
      <c r="M8" s="132"/>
      <c r="N8" s="117"/>
      <c r="O8" s="133"/>
      <c r="P8" s="117"/>
      <c r="Q8" s="160"/>
      <c r="R8" s="161"/>
      <c r="S8" s="160"/>
      <c r="T8" s="162"/>
    </row>
    <row r="9" spans="3:20" ht="20.25" customHeight="1">
      <c r="C9" s="109">
        <f t="shared" si="0"/>
        <v>9</v>
      </c>
      <c r="D9" s="115">
        <f t="shared" si="1"/>
        <v>9</v>
      </c>
      <c r="E9" s="119" t="s">
        <v>18</v>
      </c>
      <c r="F9" s="117"/>
      <c r="G9" s="118"/>
      <c r="H9" s="118"/>
      <c r="I9" s="117"/>
      <c r="J9" s="117"/>
      <c r="K9" s="130"/>
      <c r="L9" s="131"/>
      <c r="M9" s="132"/>
      <c r="N9" s="117"/>
      <c r="O9" s="133"/>
      <c r="P9" s="117"/>
      <c r="Q9" s="160"/>
      <c r="R9" s="161"/>
      <c r="S9" s="160"/>
      <c r="T9" s="162"/>
    </row>
    <row r="10" spans="3:20" ht="20.25" customHeight="1">
      <c r="C10" s="109">
        <f t="shared" si="0"/>
        <v>10</v>
      </c>
      <c r="D10" s="115">
        <f t="shared" si="1"/>
        <v>10</v>
      </c>
      <c r="E10" s="119" t="s">
        <v>19</v>
      </c>
      <c r="F10" s="117"/>
      <c r="G10" s="118"/>
      <c r="H10" s="118"/>
      <c r="I10" s="117"/>
      <c r="J10" s="117"/>
      <c r="K10" s="130"/>
      <c r="L10" s="131"/>
      <c r="M10" s="132"/>
      <c r="N10" s="117"/>
      <c r="O10" s="133"/>
      <c r="P10" s="117"/>
      <c r="Q10" s="160"/>
      <c r="R10" s="161"/>
      <c r="S10" s="160"/>
      <c r="T10" s="162"/>
    </row>
    <row r="11" spans="3:20" ht="20.25" customHeight="1">
      <c r="C11" s="109">
        <f t="shared" si="0"/>
        <v>11</v>
      </c>
      <c r="D11" s="115">
        <f t="shared" si="1"/>
        <v>11</v>
      </c>
      <c r="E11" s="119" t="s">
        <v>20</v>
      </c>
      <c r="F11" s="117"/>
      <c r="G11" s="118"/>
      <c r="H11" s="118"/>
      <c r="I11" s="117"/>
      <c r="J11" s="117"/>
      <c r="K11" s="130"/>
      <c r="L11" s="131"/>
      <c r="M11" s="132"/>
      <c r="N11" s="117"/>
      <c r="O11" s="133"/>
      <c r="P11" s="117"/>
      <c r="Q11" s="160"/>
      <c r="R11" s="161"/>
      <c r="S11" s="160"/>
      <c r="T11" s="162"/>
    </row>
    <row r="12" spans="3:20" ht="20.25" customHeight="1">
      <c r="C12" s="109">
        <f t="shared" si="0"/>
        <v>12</v>
      </c>
      <c r="D12" s="115">
        <f t="shared" si="1"/>
        <v>12</v>
      </c>
      <c r="E12" s="119" t="s">
        <v>21</v>
      </c>
      <c r="F12" s="117"/>
      <c r="G12" s="118"/>
      <c r="H12" s="118"/>
      <c r="I12" s="117"/>
      <c r="J12" s="117"/>
      <c r="K12" s="130"/>
      <c r="L12" s="131"/>
      <c r="M12" s="132"/>
      <c r="N12" s="117"/>
      <c r="O12" s="133"/>
      <c r="P12" s="117"/>
      <c r="Q12" s="160"/>
      <c r="R12" s="161"/>
      <c r="S12" s="160"/>
      <c r="T12" s="162"/>
    </row>
    <row r="13" spans="3:20" ht="20.25" customHeight="1">
      <c r="C13" s="109">
        <f t="shared" si="0"/>
        <v>13</v>
      </c>
      <c r="D13" s="115">
        <f t="shared" si="1"/>
        <v>13</v>
      </c>
      <c r="E13" s="119" t="s">
        <v>22</v>
      </c>
      <c r="F13" s="117"/>
      <c r="G13" s="118"/>
      <c r="H13" s="118"/>
      <c r="I13" s="117"/>
      <c r="J13" s="117"/>
      <c r="K13" s="130"/>
      <c r="L13" s="131"/>
      <c r="M13" s="132"/>
      <c r="N13" s="117"/>
      <c r="O13" s="133"/>
      <c r="P13" s="117"/>
      <c r="Q13" s="160"/>
      <c r="R13" s="161"/>
      <c r="S13" s="160"/>
      <c r="T13" s="162"/>
    </row>
    <row r="14" spans="3:20" ht="20.25" customHeight="1">
      <c r="C14" s="109">
        <f t="shared" si="0"/>
        <v>14</v>
      </c>
      <c r="D14" s="115">
        <f t="shared" si="1"/>
        <v>14</v>
      </c>
      <c r="E14" s="119" t="s">
        <v>23</v>
      </c>
      <c r="F14" s="117"/>
      <c r="G14" s="118"/>
      <c r="H14" s="118"/>
      <c r="I14" s="117"/>
      <c r="J14" s="117"/>
      <c r="K14" s="130"/>
      <c r="L14" s="131"/>
      <c r="M14" s="132"/>
      <c r="N14" s="117"/>
      <c r="O14" s="133"/>
      <c r="P14" s="117"/>
      <c r="Q14" s="160"/>
      <c r="R14" s="161"/>
      <c r="S14" s="160"/>
      <c r="T14" s="162"/>
    </row>
    <row r="15" spans="3:20" ht="20.25" customHeight="1">
      <c r="C15" s="109">
        <f t="shared" si="0"/>
        <v>15</v>
      </c>
      <c r="D15" s="115">
        <f t="shared" si="1"/>
        <v>15</v>
      </c>
      <c r="E15" s="119" t="s">
        <v>24</v>
      </c>
      <c r="F15" s="117"/>
      <c r="G15" s="118"/>
      <c r="H15" s="118"/>
      <c r="I15" s="117"/>
      <c r="J15" s="117"/>
      <c r="K15" s="130"/>
      <c r="L15" s="131"/>
      <c r="M15" s="132"/>
      <c r="N15" s="117"/>
      <c r="O15" s="133"/>
      <c r="P15" s="117"/>
      <c r="Q15" s="160"/>
      <c r="R15" s="161"/>
      <c r="S15" s="160"/>
      <c r="T15" s="162"/>
    </row>
    <row r="16" spans="3:20" ht="20.25" customHeight="1">
      <c r="C16" s="109">
        <f t="shared" si="0"/>
        <v>16</v>
      </c>
      <c r="D16" s="115">
        <f t="shared" si="1"/>
        <v>16</v>
      </c>
      <c r="E16" s="119" t="s">
        <v>25</v>
      </c>
      <c r="F16" s="117"/>
      <c r="G16" s="118"/>
      <c r="H16" s="118"/>
      <c r="I16" s="117"/>
      <c r="J16" s="117"/>
      <c r="K16" s="130"/>
      <c r="L16" s="131"/>
      <c r="M16" s="132"/>
      <c r="N16" s="117"/>
      <c r="O16" s="133"/>
      <c r="P16" s="117"/>
      <c r="Q16" s="160"/>
      <c r="R16" s="161"/>
      <c r="S16" s="160"/>
      <c r="T16" s="162"/>
    </row>
    <row r="17" spans="3:20" ht="20.25" customHeight="1">
      <c r="C17" s="109">
        <f t="shared" si="0"/>
        <v>17</v>
      </c>
      <c r="D17" s="115">
        <f t="shared" si="1"/>
        <v>17</v>
      </c>
      <c r="E17" s="119" t="s">
        <v>26</v>
      </c>
      <c r="F17" s="117"/>
      <c r="G17" s="118"/>
      <c r="H17" s="118"/>
      <c r="I17" s="117"/>
      <c r="J17" s="117"/>
      <c r="K17" s="130"/>
      <c r="L17" s="131"/>
      <c r="M17" s="132"/>
      <c r="N17" s="117"/>
      <c r="O17" s="133"/>
      <c r="P17" s="117"/>
      <c r="Q17" s="160"/>
      <c r="R17" s="161"/>
      <c r="S17" s="160"/>
      <c r="T17" s="162"/>
    </row>
    <row r="18" spans="3:20" ht="20.25" customHeight="1">
      <c r="C18" s="109">
        <f t="shared" si="0"/>
        <v>18</v>
      </c>
      <c r="D18" s="115">
        <f t="shared" si="1"/>
        <v>18</v>
      </c>
      <c r="E18" s="119" t="s">
        <v>27</v>
      </c>
      <c r="F18" s="117"/>
      <c r="G18" s="118"/>
      <c r="H18" s="118"/>
      <c r="I18" s="117"/>
      <c r="J18" s="117"/>
      <c r="K18" s="130"/>
      <c r="L18" s="131"/>
      <c r="M18" s="132"/>
      <c r="N18" s="117"/>
      <c r="O18" s="133"/>
      <c r="P18" s="117"/>
      <c r="Q18" s="160"/>
      <c r="R18" s="161"/>
      <c r="S18" s="160"/>
      <c r="T18" s="162"/>
    </row>
    <row r="19" spans="3:20" ht="20.25" customHeight="1">
      <c r="C19" s="109">
        <f t="shared" si="0"/>
        <v>19</v>
      </c>
      <c r="D19" s="115">
        <f t="shared" si="1"/>
        <v>19</v>
      </c>
      <c r="E19" s="119" t="s">
        <v>28</v>
      </c>
      <c r="F19" s="117"/>
      <c r="G19" s="118"/>
      <c r="H19" s="118"/>
      <c r="I19" s="117"/>
      <c r="J19" s="117"/>
      <c r="K19" s="130"/>
      <c r="L19" s="131"/>
      <c r="M19" s="132"/>
      <c r="N19" s="117"/>
      <c r="O19" s="133"/>
      <c r="P19" s="117"/>
      <c r="Q19" s="160"/>
      <c r="R19" s="161"/>
      <c r="S19" s="160"/>
      <c r="T19" s="162"/>
    </row>
    <row r="20" spans="3:20" ht="20.25" customHeight="1">
      <c r="C20" s="109">
        <f t="shared" si="0"/>
        <v>20</v>
      </c>
      <c r="D20" s="115">
        <f t="shared" si="1"/>
        <v>20</v>
      </c>
      <c r="E20" s="119" t="s">
        <v>29</v>
      </c>
      <c r="F20" s="117"/>
      <c r="G20" s="118"/>
      <c r="H20" s="118"/>
      <c r="I20" s="117"/>
      <c r="J20" s="117"/>
      <c r="K20" s="130"/>
      <c r="L20" s="131"/>
      <c r="M20" s="132"/>
      <c r="N20" s="117"/>
      <c r="O20" s="133"/>
      <c r="P20" s="117"/>
      <c r="Q20" s="160"/>
      <c r="R20" s="161"/>
      <c r="S20" s="160"/>
      <c r="T20" s="162"/>
    </row>
    <row r="21" spans="3:20" ht="20.25" customHeight="1">
      <c r="C21" s="109">
        <f t="shared" si="0"/>
        <v>21</v>
      </c>
      <c r="D21" s="115">
        <f t="shared" si="1"/>
        <v>21</v>
      </c>
      <c r="E21" s="119" t="s">
        <v>30</v>
      </c>
      <c r="F21" s="117"/>
      <c r="G21" s="118"/>
      <c r="H21" s="118"/>
      <c r="I21" s="117"/>
      <c r="J21" s="117"/>
      <c r="K21" s="130"/>
      <c r="L21" s="131"/>
      <c r="M21" s="132"/>
      <c r="N21" s="117"/>
      <c r="O21" s="133"/>
      <c r="P21" s="117"/>
      <c r="Q21" s="160"/>
      <c r="R21" s="161"/>
      <c r="S21" s="160"/>
      <c r="T21" s="162"/>
    </row>
    <row r="22" spans="3:20" ht="20.25" customHeight="1">
      <c r="C22" s="109">
        <f t="shared" si="0"/>
        <v>22</v>
      </c>
      <c r="D22" s="115">
        <f t="shared" si="1"/>
        <v>22</v>
      </c>
      <c r="E22" s="119" t="s">
        <v>31</v>
      </c>
      <c r="F22" s="117"/>
      <c r="G22" s="118"/>
      <c r="H22" s="118"/>
      <c r="I22" s="117"/>
      <c r="J22" s="117"/>
      <c r="K22" s="130"/>
      <c r="L22" s="131"/>
      <c r="M22" s="132"/>
      <c r="N22" s="117"/>
      <c r="O22" s="133"/>
      <c r="P22" s="117"/>
      <c r="Q22" s="160"/>
      <c r="R22" s="161"/>
      <c r="S22" s="160"/>
      <c r="T22" s="162"/>
    </row>
    <row r="23" spans="3:20" ht="20.25" customHeight="1">
      <c r="C23" s="109">
        <f t="shared" si="0"/>
        <v>23</v>
      </c>
      <c r="D23" s="115">
        <f t="shared" si="1"/>
        <v>23</v>
      </c>
      <c r="E23" s="119" t="s">
        <v>32</v>
      </c>
      <c r="F23" s="117"/>
      <c r="G23" s="118"/>
      <c r="H23" s="118"/>
      <c r="I23" s="117"/>
      <c r="J23" s="117"/>
      <c r="K23" s="130"/>
      <c r="L23" s="131"/>
      <c r="M23" s="132"/>
      <c r="N23" s="117"/>
      <c r="O23" s="133"/>
      <c r="P23" s="117"/>
      <c r="Q23" s="160"/>
      <c r="R23" s="161"/>
      <c r="S23" s="160"/>
      <c r="T23" s="162"/>
    </row>
    <row r="24" spans="3:20" ht="20.25" customHeight="1">
      <c r="C24" s="109">
        <f t="shared" si="0"/>
        <v>24</v>
      </c>
      <c r="D24" s="115">
        <f t="shared" si="1"/>
        <v>24</v>
      </c>
      <c r="E24" s="119" t="s">
        <v>33</v>
      </c>
      <c r="F24" s="117"/>
      <c r="G24" s="118"/>
      <c r="H24" s="118"/>
      <c r="I24" s="117"/>
      <c r="J24" s="117"/>
      <c r="K24" s="130"/>
      <c r="L24" s="131"/>
      <c r="M24" s="132"/>
      <c r="N24" s="117"/>
      <c r="O24" s="133"/>
      <c r="P24" s="117"/>
      <c r="Q24" s="160"/>
      <c r="R24" s="161"/>
      <c r="S24" s="160"/>
      <c r="T24" s="162"/>
    </row>
    <row r="25" spans="3:20" ht="20.25" customHeight="1">
      <c r="C25" s="109">
        <f t="shared" si="0"/>
        <v>25</v>
      </c>
      <c r="D25" s="115">
        <f t="shared" si="1"/>
        <v>25</v>
      </c>
      <c r="E25" s="119" t="s">
        <v>34</v>
      </c>
      <c r="F25" s="117"/>
      <c r="G25" s="118"/>
      <c r="H25" s="118"/>
      <c r="I25" s="117"/>
      <c r="J25" s="117"/>
      <c r="K25" s="130"/>
      <c r="L25" s="131"/>
      <c r="M25" s="132"/>
      <c r="N25" s="117"/>
      <c r="O25" s="133"/>
      <c r="P25" s="117"/>
      <c r="Q25" s="160"/>
      <c r="R25" s="161"/>
      <c r="S25" s="160"/>
      <c r="T25" s="162"/>
    </row>
    <row r="26" spans="3:20" ht="20.25" customHeight="1">
      <c r="C26" s="109">
        <f t="shared" si="0"/>
        <v>26</v>
      </c>
      <c r="D26" s="115">
        <f t="shared" si="1"/>
        <v>26</v>
      </c>
      <c r="E26" s="120" t="s">
        <v>35</v>
      </c>
      <c r="F26" s="121">
        <f>D9</f>
        <v>9</v>
      </c>
      <c r="G26" s="118"/>
      <c r="H26" s="118"/>
      <c r="I26" s="117"/>
      <c r="J26" s="117"/>
      <c r="K26" s="130"/>
      <c r="L26" s="131"/>
      <c r="M26" s="132"/>
      <c r="N26" s="117"/>
      <c r="O26" s="133"/>
      <c r="P26" s="117"/>
      <c r="Q26" s="160"/>
      <c r="R26" s="161"/>
      <c r="S26" s="160"/>
      <c r="T26" s="162"/>
    </row>
    <row r="27" spans="3:20" ht="20.25" customHeight="1">
      <c r="C27" s="109"/>
      <c r="D27" s="115">
        <f t="shared" si="1"/>
        <v>27</v>
      </c>
      <c r="E27" s="119" t="s">
        <v>735</v>
      </c>
      <c r="F27" s="117"/>
      <c r="G27" s="118" t="s">
        <v>37</v>
      </c>
      <c r="H27" s="118"/>
      <c r="I27" s="134">
        <v>24</v>
      </c>
      <c r="J27" s="134" t="s">
        <v>38</v>
      </c>
      <c r="K27" s="135">
        <v>1</v>
      </c>
      <c r="L27" s="136" t="s">
        <v>39</v>
      </c>
      <c r="M27" s="137">
        <v>1</v>
      </c>
      <c r="N27" s="134" t="s">
        <v>40</v>
      </c>
      <c r="O27" s="138">
        <v>4</v>
      </c>
      <c r="P27" s="134" t="s">
        <v>41</v>
      </c>
      <c r="Q27" s="163">
        <f>M27*O27</f>
        <v>4</v>
      </c>
      <c r="R27" s="164"/>
      <c r="S27" s="163">
        <f>Q27+R27</f>
        <v>4</v>
      </c>
      <c r="T27" s="165" t="s">
        <v>42</v>
      </c>
    </row>
    <row r="28" spans="3:20" ht="20.25" customHeight="1">
      <c r="C28" s="109"/>
      <c r="D28" s="115">
        <f t="shared" si="1"/>
        <v>28</v>
      </c>
      <c r="E28" s="122" t="s">
        <v>736</v>
      </c>
      <c r="F28" s="121">
        <f t="shared" ref="F28:F41" si="2">D27</f>
        <v>27</v>
      </c>
      <c r="G28" s="118" t="s">
        <v>44</v>
      </c>
      <c r="H28" s="118"/>
      <c r="I28" s="117">
        <v>24</v>
      </c>
      <c r="J28" s="139" t="s">
        <v>45</v>
      </c>
      <c r="K28" s="140">
        <v>1</v>
      </c>
      <c r="L28" s="131" t="s">
        <v>39</v>
      </c>
      <c r="M28" s="141">
        <f>LEFT(J28,SEARCH(" ",J28,1)-1)*K28*0.001</f>
        <v>6.7229999999999999</v>
      </c>
      <c r="N28" s="142" t="s">
        <v>46</v>
      </c>
      <c r="O28" s="143">
        <f>VLOOKUP(I28,BM!$A$2:$X$104,2,FALSE)</f>
        <v>0.1</v>
      </c>
      <c r="P28" s="144" t="s">
        <v>47</v>
      </c>
      <c r="Q28" s="163">
        <f t="shared" ref="Q28:Q91" si="3">M28*O28</f>
        <v>0.67230000000000001</v>
      </c>
      <c r="R28" s="166">
        <v>1</v>
      </c>
      <c r="S28" s="163">
        <f t="shared" ref="S28:S91" si="4">Q28+R28</f>
        <v>1.6722999999999999</v>
      </c>
      <c r="T28" s="167" t="s">
        <v>162</v>
      </c>
    </row>
    <row r="29" spans="3:20" ht="20.25" customHeight="1">
      <c r="C29" s="109"/>
      <c r="D29" s="115">
        <f t="shared" si="1"/>
        <v>29</v>
      </c>
      <c r="E29" s="122" t="s">
        <v>737</v>
      </c>
      <c r="F29" s="121">
        <f t="shared" si="2"/>
        <v>28</v>
      </c>
      <c r="G29" s="118" t="s">
        <v>44</v>
      </c>
      <c r="H29" s="118"/>
      <c r="I29" s="117">
        <v>24</v>
      </c>
      <c r="J29" s="125"/>
      <c r="K29" s="130">
        <v>1</v>
      </c>
      <c r="L29" s="131" t="s">
        <v>50</v>
      </c>
      <c r="M29" s="141">
        <v>1</v>
      </c>
      <c r="N29" s="145" t="s">
        <v>39</v>
      </c>
      <c r="O29" s="143">
        <v>1</v>
      </c>
      <c r="P29" s="145" t="s">
        <v>41</v>
      </c>
      <c r="Q29" s="163">
        <v>1</v>
      </c>
      <c r="R29" s="161"/>
      <c r="S29" s="163">
        <f t="shared" si="4"/>
        <v>1</v>
      </c>
      <c r="T29" s="165" t="s">
        <v>42</v>
      </c>
    </row>
    <row r="30" spans="3:20" ht="20.25" customHeight="1">
      <c r="C30" s="109"/>
      <c r="D30" s="115">
        <f t="shared" si="1"/>
        <v>30</v>
      </c>
      <c r="E30" s="119" t="s">
        <v>738</v>
      </c>
      <c r="F30" s="121">
        <f t="shared" si="2"/>
        <v>29</v>
      </c>
      <c r="G30" s="118" t="s">
        <v>52</v>
      </c>
      <c r="H30" s="118"/>
      <c r="I30" s="117">
        <v>24</v>
      </c>
      <c r="J30" s="146" t="str">
        <f>J28</f>
        <v>6723 MM</v>
      </c>
      <c r="K30" s="130">
        <v>1</v>
      </c>
      <c r="L30" s="131" t="s">
        <v>50</v>
      </c>
      <c r="M30" s="141">
        <f>LEFT(J30,SEARCH(" ",J30,1)-1)*K30*0.001</f>
        <v>6.7229999999999999</v>
      </c>
      <c r="N30" s="117" t="s">
        <v>46</v>
      </c>
      <c r="O30" s="143">
        <f>VLOOKUP(I30,BM!$A$2:$X$104,3,FALSE)</f>
        <v>0.25</v>
      </c>
      <c r="P30" s="147" t="s">
        <v>53</v>
      </c>
      <c r="Q30" s="163">
        <f t="shared" si="3"/>
        <v>1.68075</v>
      </c>
      <c r="R30" s="166">
        <v>1</v>
      </c>
      <c r="S30" s="163">
        <f t="shared" si="4"/>
        <v>2.6807499999999997</v>
      </c>
      <c r="T30" s="167" t="s">
        <v>162</v>
      </c>
    </row>
    <row r="31" spans="3:20" ht="20.25" customHeight="1">
      <c r="C31" s="109"/>
      <c r="D31" s="115">
        <f t="shared" si="1"/>
        <v>31</v>
      </c>
      <c r="E31" s="122" t="s">
        <v>739</v>
      </c>
      <c r="F31" s="121">
        <f t="shared" si="2"/>
        <v>30</v>
      </c>
      <c r="G31" s="118" t="s">
        <v>55</v>
      </c>
      <c r="H31" s="118"/>
      <c r="I31" s="117">
        <v>24</v>
      </c>
      <c r="J31" s="139" t="s">
        <v>740</v>
      </c>
      <c r="K31" s="130">
        <v>1</v>
      </c>
      <c r="L31" s="131" t="s">
        <v>50</v>
      </c>
      <c r="M31" s="148">
        <v>1</v>
      </c>
      <c r="N31" s="117" t="s">
        <v>39</v>
      </c>
      <c r="O31" s="149">
        <v>10</v>
      </c>
      <c r="P31" s="147" t="s">
        <v>41</v>
      </c>
      <c r="Q31" s="163">
        <f t="shared" si="3"/>
        <v>10</v>
      </c>
      <c r="R31" s="168"/>
      <c r="S31" s="163">
        <f t="shared" si="4"/>
        <v>10</v>
      </c>
      <c r="T31" s="167" t="s">
        <v>42</v>
      </c>
    </row>
    <row r="32" spans="3:20" ht="20.25" customHeight="1">
      <c r="C32" s="109"/>
      <c r="D32" s="115">
        <f t="shared" si="1"/>
        <v>32</v>
      </c>
      <c r="E32" s="119" t="s">
        <v>56</v>
      </c>
      <c r="F32" s="121">
        <f t="shared" si="2"/>
        <v>31</v>
      </c>
      <c r="G32" s="118" t="s">
        <v>44</v>
      </c>
      <c r="H32" s="118"/>
      <c r="I32" s="117">
        <v>24</v>
      </c>
      <c r="J32" s="146" t="str">
        <f t="shared" ref="J32:J38" si="5">J31</f>
        <v>1664 id</v>
      </c>
      <c r="K32" s="130">
        <v>1</v>
      </c>
      <c r="L32" s="131" t="s">
        <v>50</v>
      </c>
      <c r="M32" s="132">
        <v>1</v>
      </c>
      <c r="N32" s="117" t="s">
        <v>39</v>
      </c>
      <c r="O32" s="149">
        <v>1</v>
      </c>
      <c r="P32" s="147" t="s">
        <v>41</v>
      </c>
      <c r="Q32" s="163">
        <f t="shared" si="3"/>
        <v>1</v>
      </c>
      <c r="R32" s="166"/>
      <c r="S32" s="163">
        <f t="shared" si="4"/>
        <v>1</v>
      </c>
      <c r="T32" s="167" t="s">
        <v>42</v>
      </c>
    </row>
    <row r="33" spans="3:20" ht="20.25" customHeight="1">
      <c r="C33" s="109"/>
      <c r="D33" s="115">
        <f t="shared" si="1"/>
        <v>33</v>
      </c>
      <c r="E33" s="119" t="s">
        <v>57</v>
      </c>
      <c r="F33" s="121">
        <f t="shared" si="2"/>
        <v>32</v>
      </c>
      <c r="G33" s="118" t="s">
        <v>55</v>
      </c>
      <c r="H33" s="118"/>
      <c r="I33" s="117">
        <v>24</v>
      </c>
      <c r="J33" s="121" t="str">
        <f t="shared" si="5"/>
        <v>1664 id</v>
      </c>
      <c r="K33" s="130">
        <v>1</v>
      </c>
      <c r="L33" s="131" t="s">
        <v>50</v>
      </c>
      <c r="M33" s="132">
        <v>1</v>
      </c>
      <c r="N33" s="117" t="s">
        <v>39</v>
      </c>
      <c r="O33" s="149">
        <v>1</v>
      </c>
      <c r="P33" s="147" t="s">
        <v>41</v>
      </c>
      <c r="Q33" s="163">
        <f t="shared" si="3"/>
        <v>1</v>
      </c>
      <c r="R33" s="166"/>
      <c r="S33" s="163">
        <f t="shared" si="4"/>
        <v>1</v>
      </c>
      <c r="T33" s="169"/>
    </row>
    <row r="34" spans="3:20" ht="20.25" customHeight="1">
      <c r="C34" s="109"/>
      <c r="D34" s="115">
        <f t="shared" si="1"/>
        <v>34</v>
      </c>
      <c r="E34" s="119" t="s">
        <v>58</v>
      </c>
      <c r="F34" s="121">
        <f t="shared" si="2"/>
        <v>33</v>
      </c>
      <c r="G34" s="118" t="s">
        <v>55</v>
      </c>
      <c r="H34" s="118"/>
      <c r="I34" s="117">
        <v>24</v>
      </c>
      <c r="J34" s="121" t="str">
        <f t="shared" si="5"/>
        <v>1664 id</v>
      </c>
      <c r="K34" s="130">
        <v>1</v>
      </c>
      <c r="L34" s="131" t="s">
        <v>50</v>
      </c>
      <c r="M34" s="132">
        <v>1</v>
      </c>
      <c r="N34" s="117" t="s">
        <v>39</v>
      </c>
      <c r="O34" s="149">
        <v>4</v>
      </c>
      <c r="P34" s="147" t="s">
        <v>41</v>
      </c>
      <c r="Q34" s="163">
        <f t="shared" si="3"/>
        <v>4</v>
      </c>
      <c r="R34" s="166"/>
      <c r="S34" s="163">
        <f t="shared" si="4"/>
        <v>4</v>
      </c>
      <c r="T34" s="169"/>
    </row>
    <row r="35" spans="3:20" ht="20.25" customHeight="1">
      <c r="C35" s="109"/>
      <c r="D35" s="115">
        <f t="shared" si="1"/>
        <v>35</v>
      </c>
      <c r="E35" s="119" t="s">
        <v>59</v>
      </c>
      <c r="F35" s="121">
        <f t="shared" si="2"/>
        <v>34</v>
      </c>
      <c r="G35" s="118" t="s">
        <v>44</v>
      </c>
      <c r="H35" s="118"/>
      <c r="I35" s="117">
        <v>24</v>
      </c>
      <c r="J35" s="121" t="str">
        <f t="shared" si="5"/>
        <v>1664 id</v>
      </c>
      <c r="K35" s="130">
        <v>1</v>
      </c>
      <c r="L35" s="131" t="s">
        <v>50</v>
      </c>
      <c r="M35" s="132">
        <v>1</v>
      </c>
      <c r="N35" s="117" t="s">
        <v>39</v>
      </c>
      <c r="O35" s="149">
        <v>1</v>
      </c>
      <c r="P35" s="147" t="s">
        <v>41</v>
      </c>
      <c r="Q35" s="163">
        <f t="shared" si="3"/>
        <v>1</v>
      </c>
      <c r="R35" s="166"/>
      <c r="S35" s="163">
        <f t="shared" si="4"/>
        <v>1</v>
      </c>
      <c r="T35" s="169"/>
    </row>
    <row r="36" spans="3:20" ht="20.25" customHeight="1">
      <c r="C36" s="109"/>
      <c r="D36" s="115">
        <f t="shared" si="1"/>
        <v>36</v>
      </c>
      <c r="E36" s="119" t="s">
        <v>60</v>
      </c>
      <c r="F36" s="121">
        <f t="shared" si="2"/>
        <v>35</v>
      </c>
      <c r="G36" s="118" t="s">
        <v>61</v>
      </c>
      <c r="H36" s="118"/>
      <c r="I36" s="117">
        <v>24</v>
      </c>
      <c r="J36" s="121" t="str">
        <f t="shared" si="5"/>
        <v>1664 id</v>
      </c>
      <c r="K36" s="130">
        <v>1</v>
      </c>
      <c r="L36" s="131" t="s">
        <v>50</v>
      </c>
      <c r="M36" s="132">
        <v>1</v>
      </c>
      <c r="N36" s="117" t="s">
        <v>39</v>
      </c>
      <c r="O36" s="149">
        <v>1</v>
      </c>
      <c r="P36" s="147" t="s">
        <v>41</v>
      </c>
      <c r="Q36" s="163">
        <f t="shared" si="3"/>
        <v>1</v>
      </c>
      <c r="R36" s="166">
        <v>1</v>
      </c>
      <c r="S36" s="163">
        <f t="shared" si="4"/>
        <v>2</v>
      </c>
      <c r="T36" s="169">
        <v>1</v>
      </c>
    </row>
    <row r="37" spans="3:20" ht="20.25" customHeight="1">
      <c r="C37" s="109"/>
      <c r="D37" s="115">
        <f t="shared" si="1"/>
        <v>37</v>
      </c>
      <c r="E37" s="119" t="s">
        <v>62</v>
      </c>
      <c r="F37" s="121">
        <f t="shared" si="2"/>
        <v>36</v>
      </c>
      <c r="G37" s="118" t="s">
        <v>63</v>
      </c>
      <c r="H37" s="118"/>
      <c r="I37" s="117">
        <v>24</v>
      </c>
      <c r="J37" s="121" t="str">
        <f t="shared" si="5"/>
        <v>1664 id</v>
      </c>
      <c r="K37" s="130">
        <v>1</v>
      </c>
      <c r="L37" s="131" t="s">
        <v>50</v>
      </c>
      <c r="M37" s="132">
        <v>1</v>
      </c>
      <c r="N37" s="117" t="s">
        <v>39</v>
      </c>
      <c r="O37" s="149">
        <v>1</v>
      </c>
      <c r="P37" s="147" t="s">
        <v>41</v>
      </c>
      <c r="Q37" s="163">
        <f t="shared" si="3"/>
        <v>1</v>
      </c>
      <c r="R37" s="166"/>
      <c r="S37" s="163">
        <f t="shared" si="4"/>
        <v>1</v>
      </c>
      <c r="T37" s="169"/>
    </row>
    <row r="38" spans="3:20" ht="20.25" customHeight="1">
      <c r="C38" s="109"/>
      <c r="D38" s="115">
        <f t="shared" si="1"/>
        <v>38</v>
      </c>
      <c r="E38" s="119" t="s">
        <v>64</v>
      </c>
      <c r="F38" s="121">
        <f t="shared" si="2"/>
        <v>37</v>
      </c>
      <c r="G38" s="118" t="s">
        <v>63</v>
      </c>
      <c r="H38" s="118"/>
      <c r="I38" s="117">
        <v>24</v>
      </c>
      <c r="J38" s="121" t="str">
        <f t="shared" si="5"/>
        <v>1664 id</v>
      </c>
      <c r="K38" s="130">
        <v>1</v>
      </c>
      <c r="L38" s="131" t="s">
        <v>50</v>
      </c>
      <c r="M38" s="132">
        <v>1</v>
      </c>
      <c r="N38" s="117" t="s">
        <v>39</v>
      </c>
      <c r="O38" s="149">
        <v>1</v>
      </c>
      <c r="P38" s="147" t="s">
        <v>41</v>
      </c>
      <c r="Q38" s="163">
        <f t="shared" si="3"/>
        <v>1</v>
      </c>
      <c r="R38" s="166"/>
      <c r="S38" s="163">
        <f t="shared" si="4"/>
        <v>1</v>
      </c>
      <c r="T38" s="169"/>
    </row>
    <row r="39" spans="3:20" ht="20.25" customHeight="1">
      <c r="C39" s="109"/>
      <c r="D39" s="115">
        <f t="shared" si="1"/>
        <v>39</v>
      </c>
      <c r="E39" s="119" t="s">
        <v>65</v>
      </c>
      <c r="F39" s="121">
        <f t="shared" si="2"/>
        <v>38</v>
      </c>
      <c r="G39" s="118" t="s">
        <v>44</v>
      </c>
      <c r="H39" s="123" t="s">
        <v>66</v>
      </c>
      <c r="I39" s="117">
        <v>24</v>
      </c>
      <c r="J39" s="139" t="s">
        <v>67</v>
      </c>
      <c r="K39" s="130">
        <v>1</v>
      </c>
      <c r="L39" s="131" t="s">
        <v>50</v>
      </c>
      <c r="M39" s="141">
        <f>LEFT(J39,SEARCH(" ",J39,1)-1)*K39*0.001*3.142</f>
        <v>5.3162639999999994</v>
      </c>
      <c r="N39" s="117" t="s">
        <v>68</v>
      </c>
      <c r="O39" s="143">
        <f>VLOOKUP(I39,BM!$A$2:$X$104,2,FALSE)</f>
        <v>0.1</v>
      </c>
      <c r="P39" s="147" t="s">
        <v>53</v>
      </c>
      <c r="Q39" s="163">
        <f t="shared" si="3"/>
        <v>0.53162639999999994</v>
      </c>
      <c r="R39" s="166">
        <v>1</v>
      </c>
      <c r="S39" s="163">
        <f t="shared" si="4"/>
        <v>1.5316263999999999</v>
      </c>
      <c r="T39" s="167" t="s">
        <v>162</v>
      </c>
    </row>
    <row r="40" spans="3:20" ht="20.25" customHeight="1">
      <c r="C40" s="109"/>
      <c r="D40" s="115">
        <f t="shared" si="1"/>
        <v>40</v>
      </c>
      <c r="E40" s="119" t="s">
        <v>69</v>
      </c>
      <c r="F40" s="121">
        <f t="shared" si="2"/>
        <v>39</v>
      </c>
      <c r="G40" s="118" t="s">
        <v>52</v>
      </c>
      <c r="H40" s="118"/>
      <c r="I40" s="117">
        <v>24</v>
      </c>
      <c r="J40" s="150" t="str">
        <f>J39</f>
        <v>1692 od</v>
      </c>
      <c r="K40" s="130">
        <v>1</v>
      </c>
      <c r="L40" s="131" t="s">
        <v>50</v>
      </c>
      <c r="M40" s="141">
        <f>LEFT(J40,SEARCH(" ",J40,1)-1)*K40*0.001*3.142</f>
        <v>5.3162639999999994</v>
      </c>
      <c r="N40" s="117" t="s">
        <v>68</v>
      </c>
      <c r="O40" s="143">
        <f>VLOOKUP(I40,BM!$A$2:$X$104,15,FALSE)</f>
        <v>1</v>
      </c>
      <c r="P40" s="147" t="s">
        <v>53</v>
      </c>
      <c r="Q40" s="163">
        <f t="shared" si="3"/>
        <v>5.3162639999999994</v>
      </c>
      <c r="R40" s="166">
        <v>1</v>
      </c>
      <c r="S40" s="163">
        <f t="shared" si="4"/>
        <v>6.3162639999999994</v>
      </c>
      <c r="T40" s="167" t="s">
        <v>162</v>
      </c>
    </row>
    <row r="41" spans="3:20" ht="20.25" customHeight="1">
      <c r="C41" s="109"/>
      <c r="D41" s="115">
        <f t="shared" si="1"/>
        <v>41</v>
      </c>
      <c r="E41" s="119" t="s">
        <v>70</v>
      </c>
      <c r="F41" s="121">
        <f t="shared" si="2"/>
        <v>40</v>
      </c>
      <c r="G41" s="118" t="s">
        <v>61</v>
      </c>
      <c r="H41" s="118"/>
      <c r="I41" s="117">
        <v>24</v>
      </c>
      <c r="J41" s="150" t="str">
        <f>J40</f>
        <v>1692 od</v>
      </c>
      <c r="K41" s="130">
        <v>1</v>
      </c>
      <c r="L41" s="131" t="s">
        <v>50</v>
      </c>
      <c r="M41" s="141">
        <f>LEFT(J41,SEARCH(" ",J41,1)-1)*K41*0.001*3.142</f>
        <v>5.3162639999999994</v>
      </c>
      <c r="N41" s="117" t="s">
        <v>68</v>
      </c>
      <c r="O41" s="143">
        <f>VLOOKUP(I41,BM!$A$2:$X$104,6,FALSE)</f>
        <v>1</v>
      </c>
      <c r="P41" s="147" t="s">
        <v>53</v>
      </c>
      <c r="Q41" s="163">
        <f t="shared" si="3"/>
        <v>5.3162639999999994</v>
      </c>
      <c r="R41" s="166"/>
      <c r="S41" s="163">
        <f t="shared" si="4"/>
        <v>5.3162639999999994</v>
      </c>
      <c r="T41" s="167" t="s">
        <v>162</v>
      </c>
    </row>
    <row r="42" spans="3:20" ht="20.25" customHeight="1">
      <c r="C42" s="109">
        <f t="shared" ref="C42:C43" si="6">D42</f>
        <v>42</v>
      </c>
      <c r="D42" s="115">
        <f t="shared" si="1"/>
        <v>42</v>
      </c>
      <c r="E42" s="116" t="s">
        <v>71</v>
      </c>
      <c r="F42" s="117"/>
      <c r="G42" s="118"/>
      <c r="H42" s="118"/>
      <c r="I42" s="117"/>
      <c r="J42" s="117"/>
      <c r="K42" s="130"/>
      <c r="L42" s="131"/>
      <c r="M42" s="132"/>
      <c r="N42" s="117"/>
      <c r="O42" s="149"/>
      <c r="P42" s="147"/>
      <c r="Q42" s="163"/>
      <c r="R42" s="166"/>
      <c r="S42" s="163"/>
      <c r="T42" s="169"/>
    </row>
    <row r="43" spans="3:20" ht="20.25" customHeight="1">
      <c r="C43" s="109">
        <f t="shared" si="6"/>
        <v>43</v>
      </c>
      <c r="D43" s="115">
        <f t="shared" si="1"/>
        <v>43</v>
      </c>
      <c r="E43" s="116" t="s">
        <v>72</v>
      </c>
      <c r="F43" s="121">
        <f>D10</f>
        <v>10</v>
      </c>
      <c r="G43" s="118"/>
      <c r="H43" s="118"/>
      <c r="I43" s="117"/>
      <c r="J43" s="117"/>
      <c r="K43" s="130"/>
      <c r="L43" s="131"/>
      <c r="M43" s="132"/>
      <c r="N43" s="117"/>
      <c r="O43" s="149"/>
      <c r="P43" s="147"/>
      <c r="Q43" s="170"/>
      <c r="R43" s="166"/>
      <c r="S43" s="170"/>
      <c r="T43" s="169"/>
    </row>
    <row r="44" spans="3:20" ht="20.25" customHeight="1">
      <c r="C44" s="109"/>
      <c r="D44" s="115">
        <f t="shared" si="1"/>
        <v>44</v>
      </c>
      <c r="E44" s="119" t="s">
        <v>73</v>
      </c>
      <c r="F44" s="117"/>
      <c r="G44" s="118"/>
      <c r="H44" s="123" t="s">
        <v>66</v>
      </c>
      <c r="I44" s="151" t="s">
        <v>74</v>
      </c>
      <c r="J44" s="151" t="s">
        <v>90</v>
      </c>
      <c r="K44" s="130">
        <v>1</v>
      </c>
      <c r="L44" s="131" t="s">
        <v>39</v>
      </c>
      <c r="M44" s="132">
        <v>1</v>
      </c>
      <c r="N44" s="117" t="s">
        <v>50</v>
      </c>
      <c r="O44" s="149">
        <v>2</v>
      </c>
      <c r="P44" s="147" t="s">
        <v>41</v>
      </c>
      <c r="Q44" s="163">
        <f t="shared" si="3"/>
        <v>2</v>
      </c>
      <c r="R44" s="166"/>
      <c r="S44" s="163">
        <f t="shared" si="4"/>
        <v>2</v>
      </c>
      <c r="T44" s="167" t="s">
        <v>741</v>
      </c>
    </row>
    <row r="45" spans="3:20" ht="20.25" customHeight="1">
      <c r="C45" s="109"/>
      <c r="D45" s="115">
        <f t="shared" si="1"/>
        <v>45</v>
      </c>
      <c r="E45" s="119" t="s">
        <v>75</v>
      </c>
      <c r="F45" s="121">
        <f>D44</f>
        <v>44</v>
      </c>
      <c r="G45" s="118" t="s">
        <v>55</v>
      </c>
      <c r="H45" s="118"/>
      <c r="I45" s="150" t="str">
        <f>I44</f>
        <v>145 t</v>
      </c>
      <c r="J45" s="151" t="s">
        <v>92</v>
      </c>
      <c r="K45" s="130">
        <v>1</v>
      </c>
      <c r="L45" s="131" t="s">
        <v>39</v>
      </c>
      <c r="M45" s="132">
        <v>1</v>
      </c>
      <c r="N45" s="117" t="s">
        <v>50</v>
      </c>
      <c r="O45" s="149">
        <v>5</v>
      </c>
      <c r="P45" s="147" t="s">
        <v>41</v>
      </c>
      <c r="Q45" s="163">
        <f t="shared" si="3"/>
        <v>5</v>
      </c>
      <c r="R45" s="166"/>
      <c r="S45" s="163">
        <f t="shared" si="4"/>
        <v>5</v>
      </c>
      <c r="T45" s="167" t="s">
        <v>741</v>
      </c>
    </row>
    <row r="46" spans="3:20" ht="20.25" customHeight="1">
      <c r="C46" s="109">
        <f>D46</f>
        <v>46</v>
      </c>
      <c r="D46" s="115">
        <f t="shared" si="1"/>
        <v>46</v>
      </c>
      <c r="E46" s="116" t="s">
        <v>76</v>
      </c>
      <c r="F46" s="121">
        <f>D43</f>
        <v>43</v>
      </c>
      <c r="G46" s="118"/>
      <c r="H46" s="118"/>
      <c r="I46" s="117"/>
      <c r="J46" s="117"/>
      <c r="K46" s="130"/>
      <c r="L46" s="131"/>
      <c r="M46" s="132"/>
      <c r="N46" s="117"/>
      <c r="O46" s="149"/>
      <c r="P46" s="147"/>
      <c r="Q46" s="163"/>
      <c r="R46" s="166"/>
      <c r="S46" s="163"/>
      <c r="T46" s="169"/>
    </row>
    <row r="47" spans="3:20" ht="20.25" customHeight="1">
      <c r="C47" s="109"/>
      <c r="D47" s="115">
        <f t="shared" si="1"/>
        <v>47</v>
      </c>
      <c r="E47" s="119" t="s">
        <v>77</v>
      </c>
      <c r="F47" s="121">
        <f t="shared" ref="F47:F52" si="7">D46</f>
        <v>46</v>
      </c>
      <c r="G47" s="118" t="s">
        <v>55</v>
      </c>
      <c r="H47" s="118"/>
      <c r="I47" s="152" t="str">
        <f>I44</f>
        <v>145 t</v>
      </c>
      <c r="J47" s="151" t="s">
        <v>78</v>
      </c>
      <c r="K47" s="130">
        <v>1</v>
      </c>
      <c r="L47" s="131" t="s">
        <v>39</v>
      </c>
      <c r="M47" s="141">
        <f>LEFT(J47,SEARCH(" ",J47,1)-1)*LEFT(I47,SEARCH(" ",I47,1)-1)*K47/1000</f>
        <v>189.66</v>
      </c>
      <c r="N47" s="117" t="s">
        <v>79</v>
      </c>
      <c r="O47" s="143">
        <f>1/1.5^1</f>
        <v>0.66666666666666663</v>
      </c>
      <c r="P47" s="147" t="s">
        <v>47</v>
      </c>
      <c r="Q47" s="163">
        <f>M47*O47/24</f>
        <v>5.2683333333333335</v>
      </c>
      <c r="R47" s="166"/>
      <c r="S47" s="163">
        <f t="shared" si="4"/>
        <v>5.2683333333333335</v>
      </c>
      <c r="T47" s="167" t="s">
        <v>41</v>
      </c>
    </row>
    <row r="48" spans="3:20" ht="20.25" customHeight="1">
      <c r="C48" s="109"/>
      <c r="D48" s="115">
        <f t="shared" si="1"/>
        <v>48</v>
      </c>
      <c r="E48" s="119" t="s">
        <v>80</v>
      </c>
      <c r="F48" s="121">
        <f t="shared" si="7"/>
        <v>47</v>
      </c>
      <c r="G48" s="118" t="s">
        <v>55</v>
      </c>
      <c r="H48" s="118"/>
      <c r="I48" s="153" t="str">
        <f>I44</f>
        <v>145 t</v>
      </c>
      <c r="J48" s="153" t="str">
        <f>J47</f>
        <v>1308 holes</v>
      </c>
      <c r="K48" s="130">
        <v>1</v>
      </c>
      <c r="L48" s="131" t="s">
        <v>40</v>
      </c>
      <c r="M48" s="141" t="str">
        <f>LEFT(J48,SEARCH(" ",J48,1)-1)</f>
        <v>1308</v>
      </c>
      <c r="N48" s="145" t="s">
        <v>81</v>
      </c>
      <c r="O48" s="143">
        <f>1/60*5</f>
        <v>8.3333333333333329E-2</v>
      </c>
      <c r="P48" s="147" t="s">
        <v>47</v>
      </c>
      <c r="Q48" s="163">
        <f>M48*O48/24</f>
        <v>4.541666666666667</v>
      </c>
      <c r="R48" s="166"/>
      <c r="S48" s="163">
        <f t="shared" ref="S48" si="8">Q48+R48</f>
        <v>4.541666666666667</v>
      </c>
      <c r="T48" s="167" t="s">
        <v>41</v>
      </c>
    </row>
    <row r="49" spans="2:20" ht="20.25" customHeight="1">
      <c r="C49" s="109"/>
      <c r="D49" s="115">
        <f t="shared" si="1"/>
        <v>49</v>
      </c>
      <c r="E49" s="119" t="s">
        <v>82</v>
      </c>
      <c r="F49" s="121">
        <f t="shared" si="7"/>
        <v>48</v>
      </c>
      <c r="G49" s="118" t="s">
        <v>55</v>
      </c>
      <c r="H49" s="118"/>
      <c r="I49" s="153" t="str">
        <f>I44</f>
        <v>145 t</v>
      </c>
      <c r="J49" s="117"/>
      <c r="K49" s="130">
        <v>1</v>
      </c>
      <c r="L49" s="154" t="s">
        <v>83</v>
      </c>
      <c r="M49" s="155">
        <v>1</v>
      </c>
      <c r="N49" s="145" t="s">
        <v>84</v>
      </c>
      <c r="O49" s="143">
        <v>1</v>
      </c>
      <c r="P49" s="144" t="s">
        <v>41</v>
      </c>
      <c r="Q49" s="163">
        <f>M49*O49</f>
        <v>1</v>
      </c>
      <c r="R49" s="166"/>
      <c r="S49" s="163">
        <f t="shared" ref="S49" si="9">Q49+R49</f>
        <v>1</v>
      </c>
      <c r="T49" s="167" t="s">
        <v>41</v>
      </c>
    </row>
    <row r="50" spans="2:20" ht="20.25" customHeight="1">
      <c r="C50" s="109"/>
      <c r="D50" s="115">
        <f t="shared" si="1"/>
        <v>50</v>
      </c>
      <c r="E50" s="119" t="s">
        <v>85</v>
      </c>
      <c r="F50" s="121">
        <f t="shared" si="7"/>
        <v>49</v>
      </c>
      <c r="G50" s="118" t="s">
        <v>55</v>
      </c>
      <c r="H50" s="118"/>
      <c r="I50" s="153" t="str">
        <f>I44</f>
        <v>145 t</v>
      </c>
      <c r="J50" s="117"/>
      <c r="K50" s="130">
        <v>1</v>
      </c>
      <c r="L50" s="154" t="s">
        <v>83</v>
      </c>
      <c r="M50" s="132">
        <v>1</v>
      </c>
      <c r="N50" s="145" t="s">
        <v>84</v>
      </c>
      <c r="O50" s="149">
        <v>4</v>
      </c>
      <c r="P50" s="147" t="s">
        <v>41</v>
      </c>
      <c r="Q50" s="163">
        <f t="shared" si="3"/>
        <v>4</v>
      </c>
      <c r="R50" s="166"/>
      <c r="S50" s="163">
        <f t="shared" si="4"/>
        <v>4</v>
      </c>
      <c r="T50" s="167" t="s">
        <v>41</v>
      </c>
    </row>
    <row r="51" spans="2:20" ht="20.25" customHeight="1">
      <c r="C51" s="109"/>
      <c r="D51" s="115">
        <f t="shared" si="1"/>
        <v>51</v>
      </c>
      <c r="E51" s="119" t="s">
        <v>86</v>
      </c>
      <c r="F51" s="121">
        <f t="shared" si="7"/>
        <v>50</v>
      </c>
      <c r="G51" s="118" t="s">
        <v>44</v>
      </c>
      <c r="H51" s="118"/>
      <c r="I51" s="153" t="str">
        <f>I44</f>
        <v>145 t</v>
      </c>
      <c r="J51" s="153" t="str">
        <f>J47</f>
        <v>1308 holes</v>
      </c>
      <c r="K51" s="130">
        <v>1</v>
      </c>
      <c r="L51" s="131" t="s">
        <v>40</v>
      </c>
      <c r="M51" s="141" t="str">
        <f>LEFT(J51,SEARCH(" ",J51,1)-1)</f>
        <v>1308</v>
      </c>
      <c r="N51" s="117" t="s">
        <v>40</v>
      </c>
      <c r="O51" s="143">
        <f>1/60*3</f>
        <v>0.05</v>
      </c>
      <c r="P51" s="147" t="s">
        <v>87</v>
      </c>
      <c r="Q51" s="163">
        <f t="shared" si="3"/>
        <v>65.400000000000006</v>
      </c>
      <c r="R51" s="166"/>
      <c r="S51" s="163">
        <f t="shared" si="4"/>
        <v>65.400000000000006</v>
      </c>
      <c r="T51" s="167" t="s">
        <v>48</v>
      </c>
    </row>
    <row r="52" spans="2:20" ht="20.25" customHeight="1">
      <c r="C52" s="109"/>
      <c r="D52" s="115">
        <f t="shared" si="1"/>
        <v>52</v>
      </c>
      <c r="E52" s="119" t="s">
        <v>88</v>
      </c>
      <c r="F52" s="121">
        <f t="shared" si="7"/>
        <v>51</v>
      </c>
      <c r="G52" s="118" t="s">
        <v>44</v>
      </c>
      <c r="H52" s="118"/>
      <c r="I52" s="117"/>
      <c r="J52" s="117"/>
      <c r="K52" s="130"/>
      <c r="L52" s="131"/>
      <c r="M52" s="132"/>
      <c r="N52" s="117"/>
      <c r="O52" s="149"/>
      <c r="P52" s="147"/>
      <c r="Q52" s="163"/>
      <c r="R52" s="166"/>
      <c r="S52" s="163"/>
      <c r="T52" s="169"/>
    </row>
    <row r="53" spans="2:20" ht="20.25" customHeight="1">
      <c r="C53" s="109">
        <f>D53</f>
        <v>53</v>
      </c>
      <c r="D53" s="115">
        <f t="shared" si="1"/>
        <v>53</v>
      </c>
      <c r="E53" s="116" t="s">
        <v>89</v>
      </c>
      <c r="F53" s="121">
        <f>D10</f>
        <v>10</v>
      </c>
      <c r="G53" s="118"/>
      <c r="H53" s="118"/>
      <c r="I53" s="117"/>
      <c r="J53" s="117"/>
      <c r="K53" s="130"/>
      <c r="L53" s="131"/>
      <c r="M53" s="132"/>
      <c r="N53" s="117"/>
      <c r="O53" s="149"/>
      <c r="P53" s="147"/>
      <c r="Q53" s="163"/>
      <c r="R53" s="166"/>
      <c r="S53" s="163"/>
      <c r="T53" s="169"/>
    </row>
    <row r="54" spans="2:20" ht="20.25" customHeight="1">
      <c r="C54" s="109"/>
      <c r="D54" s="115">
        <f t="shared" si="1"/>
        <v>54</v>
      </c>
      <c r="E54" s="119" t="s">
        <v>73</v>
      </c>
      <c r="F54" s="121">
        <f>D53</f>
        <v>53</v>
      </c>
      <c r="G54" s="118"/>
      <c r="H54" s="118"/>
      <c r="I54" s="151" t="s">
        <v>74</v>
      </c>
      <c r="J54" s="151" t="s">
        <v>90</v>
      </c>
      <c r="K54" s="130">
        <v>1</v>
      </c>
      <c r="L54" s="131" t="s">
        <v>39</v>
      </c>
      <c r="M54" s="132">
        <v>1</v>
      </c>
      <c r="N54" s="117" t="s">
        <v>50</v>
      </c>
      <c r="O54" s="149">
        <v>2</v>
      </c>
      <c r="P54" s="147" t="s">
        <v>41</v>
      </c>
      <c r="Q54" s="163">
        <f t="shared" ref="Q54:Q55" si="10">M54*O54</f>
        <v>2</v>
      </c>
      <c r="R54" s="166"/>
      <c r="S54" s="163">
        <f t="shared" ref="S54:S55" si="11">Q54+R54</f>
        <v>2</v>
      </c>
      <c r="T54" s="167" t="s">
        <v>741</v>
      </c>
    </row>
    <row r="55" spans="2:20" ht="20.25" customHeight="1">
      <c r="C55" s="109"/>
      <c r="D55" s="115">
        <f t="shared" si="1"/>
        <v>55</v>
      </c>
      <c r="E55" s="119" t="s">
        <v>91</v>
      </c>
      <c r="F55" s="121">
        <f>D54</f>
        <v>54</v>
      </c>
      <c r="G55" s="118" t="s">
        <v>55</v>
      </c>
      <c r="H55" s="118"/>
      <c r="I55" s="150" t="str">
        <f>I54</f>
        <v>145 t</v>
      </c>
      <c r="J55" s="151" t="s">
        <v>92</v>
      </c>
      <c r="K55" s="130">
        <v>1</v>
      </c>
      <c r="L55" s="131" t="s">
        <v>39</v>
      </c>
      <c r="M55" s="132">
        <v>1</v>
      </c>
      <c r="N55" s="117" t="s">
        <v>50</v>
      </c>
      <c r="O55" s="149">
        <v>5</v>
      </c>
      <c r="P55" s="147" t="s">
        <v>41</v>
      </c>
      <c r="Q55" s="163">
        <f t="shared" si="10"/>
        <v>5</v>
      </c>
      <c r="R55" s="166"/>
      <c r="S55" s="163">
        <f t="shared" si="11"/>
        <v>5</v>
      </c>
      <c r="T55" s="167" t="s">
        <v>741</v>
      </c>
    </row>
    <row r="56" spans="2:20" ht="20.25" customHeight="1">
      <c r="B56" s="124"/>
      <c r="C56" s="109">
        <f>D56</f>
        <v>56</v>
      </c>
      <c r="D56" s="115">
        <f t="shared" si="1"/>
        <v>56</v>
      </c>
      <c r="E56" s="116" t="s">
        <v>93</v>
      </c>
      <c r="F56" s="121"/>
      <c r="G56" s="118"/>
      <c r="H56" s="118"/>
      <c r="I56" s="117"/>
      <c r="J56" s="117"/>
      <c r="K56" s="130"/>
      <c r="L56" s="131"/>
      <c r="M56" s="132"/>
      <c r="N56" s="117"/>
      <c r="O56" s="149"/>
      <c r="P56" s="147"/>
      <c r="Q56" s="163"/>
      <c r="R56" s="166"/>
      <c r="S56" s="163"/>
      <c r="T56" s="169"/>
    </row>
    <row r="57" spans="2:20" ht="20.25" customHeight="1">
      <c r="C57" s="109"/>
      <c r="D57" s="115">
        <f t="shared" si="1"/>
        <v>57</v>
      </c>
      <c r="E57" s="119" t="s">
        <v>94</v>
      </c>
      <c r="F57" s="125">
        <f>D47</f>
        <v>47</v>
      </c>
      <c r="G57" s="118" t="s">
        <v>55</v>
      </c>
      <c r="H57" s="118"/>
      <c r="I57" s="152" t="str">
        <f>I54</f>
        <v>145 t</v>
      </c>
      <c r="J57" s="151" t="s">
        <v>78</v>
      </c>
      <c r="K57" s="130">
        <v>1</v>
      </c>
      <c r="L57" s="131" t="s">
        <v>39</v>
      </c>
      <c r="M57" s="141">
        <f>LEFT(J57,SEARCH(" ",J57,1)-1)*LEFT(I57,SEARCH(" ",I57,1)-1)*K57/1000</f>
        <v>189.66</v>
      </c>
      <c r="N57" s="117" t="s">
        <v>79</v>
      </c>
      <c r="O57" s="143">
        <f>1/1.5^1</f>
        <v>0.66666666666666663</v>
      </c>
      <c r="P57" s="147" t="s">
        <v>47</v>
      </c>
      <c r="Q57" s="163">
        <f>M57*O57/24</f>
        <v>5.2683333333333335</v>
      </c>
      <c r="R57" s="166"/>
      <c r="S57" s="163">
        <f t="shared" ref="S57:S61" si="12">Q57+R57</f>
        <v>5.2683333333333335</v>
      </c>
      <c r="T57" s="167" t="s">
        <v>41</v>
      </c>
    </row>
    <row r="58" spans="2:20" ht="20.25" customHeight="1">
      <c r="C58" s="109"/>
      <c r="D58" s="115">
        <f t="shared" si="1"/>
        <v>58</v>
      </c>
      <c r="E58" s="119" t="s">
        <v>95</v>
      </c>
      <c r="F58" s="121">
        <f>D57</f>
        <v>57</v>
      </c>
      <c r="G58" s="118" t="s">
        <v>55</v>
      </c>
      <c r="H58" s="118"/>
      <c r="I58" s="153" t="str">
        <f>I54</f>
        <v>145 t</v>
      </c>
      <c r="J58" s="153" t="str">
        <f>J57</f>
        <v>1308 holes</v>
      </c>
      <c r="K58" s="130">
        <v>1</v>
      </c>
      <c r="L58" s="131" t="s">
        <v>40</v>
      </c>
      <c r="M58" s="141" t="str">
        <f>LEFT(J58,SEARCH(" ",J58,1)-1)</f>
        <v>1308</v>
      </c>
      <c r="N58" s="145" t="s">
        <v>81</v>
      </c>
      <c r="O58" s="143">
        <f>1/60*5</f>
        <v>8.3333333333333329E-2</v>
      </c>
      <c r="P58" s="147" t="s">
        <v>47</v>
      </c>
      <c r="Q58" s="163">
        <f>M58*O58/24</f>
        <v>4.541666666666667</v>
      </c>
      <c r="R58" s="166"/>
      <c r="S58" s="163">
        <f t="shared" si="12"/>
        <v>4.541666666666667</v>
      </c>
      <c r="T58" s="167" t="s">
        <v>41</v>
      </c>
    </row>
    <row r="59" spans="2:20" ht="20.25" customHeight="1">
      <c r="C59" s="109"/>
      <c r="D59" s="115">
        <f t="shared" si="1"/>
        <v>59</v>
      </c>
      <c r="E59" s="119" t="s">
        <v>96</v>
      </c>
      <c r="F59" s="121">
        <f>D58</f>
        <v>58</v>
      </c>
      <c r="G59" s="118" t="s">
        <v>55</v>
      </c>
      <c r="H59" s="118"/>
      <c r="I59" s="153" t="str">
        <f>I54</f>
        <v>145 t</v>
      </c>
      <c r="J59" s="117"/>
      <c r="K59" s="130">
        <v>1</v>
      </c>
      <c r="L59" s="154" t="s">
        <v>83</v>
      </c>
      <c r="M59" s="155">
        <v>1</v>
      </c>
      <c r="N59" s="145" t="s">
        <v>84</v>
      </c>
      <c r="O59" s="143">
        <v>1</v>
      </c>
      <c r="P59" s="144" t="s">
        <v>41</v>
      </c>
      <c r="Q59" s="163">
        <f>M59*O59</f>
        <v>1</v>
      </c>
      <c r="R59" s="166"/>
      <c r="S59" s="163">
        <f t="shared" si="12"/>
        <v>1</v>
      </c>
      <c r="T59" s="167" t="s">
        <v>41</v>
      </c>
    </row>
    <row r="60" spans="2:20" ht="20.25" customHeight="1">
      <c r="C60" s="109"/>
      <c r="D60" s="115">
        <f t="shared" si="1"/>
        <v>60</v>
      </c>
      <c r="E60" s="119" t="s">
        <v>97</v>
      </c>
      <c r="F60" s="121">
        <f>D59</f>
        <v>59</v>
      </c>
      <c r="G60" s="118" t="s">
        <v>55</v>
      </c>
      <c r="H60" s="118"/>
      <c r="I60" s="153" t="str">
        <f>I54</f>
        <v>145 t</v>
      </c>
      <c r="J60" s="117"/>
      <c r="K60" s="130">
        <v>1</v>
      </c>
      <c r="L60" s="154" t="s">
        <v>83</v>
      </c>
      <c r="M60" s="132">
        <v>1</v>
      </c>
      <c r="N60" s="145" t="s">
        <v>84</v>
      </c>
      <c r="O60" s="149">
        <v>4</v>
      </c>
      <c r="P60" s="147" t="s">
        <v>41</v>
      </c>
      <c r="Q60" s="163">
        <f t="shared" ref="Q60:Q61" si="13">M60*O60</f>
        <v>4</v>
      </c>
      <c r="R60" s="166"/>
      <c r="S60" s="163">
        <f t="shared" si="12"/>
        <v>4</v>
      </c>
      <c r="T60" s="167" t="s">
        <v>41</v>
      </c>
    </row>
    <row r="61" spans="2:20" ht="20.25" customHeight="1">
      <c r="C61" s="109"/>
      <c r="D61" s="115">
        <f t="shared" si="1"/>
        <v>61</v>
      </c>
      <c r="E61" s="119" t="s">
        <v>98</v>
      </c>
      <c r="F61" s="121">
        <f>D60</f>
        <v>60</v>
      </c>
      <c r="G61" s="118" t="s">
        <v>44</v>
      </c>
      <c r="H61" s="118"/>
      <c r="I61" s="153" t="str">
        <f>I54</f>
        <v>145 t</v>
      </c>
      <c r="J61" s="153" t="str">
        <f>J57</f>
        <v>1308 holes</v>
      </c>
      <c r="K61" s="130">
        <v>1</v>
      </c>
      <c r="L61" s="131" t="s">
        <v>40</v>
      </c>
      <c r="M61" s="141" t="str">
        <f>LEFT(J61,SEARCH(" ",J61,1)-1)</f>
        <v>1308</v>
      </c>
      <c r="N61" s="117" t="s">
        <v>40</v>
      </c>
      <c r="O61" s="143">
        <f>1/60*3</f>
        <v>0.05</v>
      </c>
      <c r="P61" s="147" t="s">
        <v>87</v>
      </c>
      <c r="Q61" s="163">
        <f t="shared" si="13"/>
        <v>65.400000000000006</v>
      </c>
      <c r="R61" s="166"/>
      <c r="S61" s="163">
        <f t="shared" si="12"/>
        <v>65.400000000000006</v>
      </c>
      <c r="T61" s="167" t="s">
        <v>48</v>
      </c>
    </row>
    <row r="62" spans="2:20" ht="20.25" customHeight="1">
      <c r="C62" s="109"/>
      <c r="D62" s="115">
        <f t="shared" si="1"/>
        <v>62</v>
      </c>
      <c r="E62" s="119" t="s">
        <v>99</v>
      </c>
      <c r="F62" s="121">
        <f>D61</f>
        <v>61</v>
      </c>
      <c r="G62" s="118" t="s">
        <v>44</v>
      </c>
      <c r="H62" s="118"/>
      <c r="I62" s="117"/>
      <c r="J62" s="117"/>
      <c r="K62" s="130">
        <v>1</v>
      </c>
      <c r="L62" s="131"/>
      <c r="M62" s="141">
        <v>1050</v>
      </c>
      <c r="N62" s="117" t="s">
        <v>40</v>
      </c>
      <c r="O62" s="143">
        <f>1/60*3</f>
        <v>0.05</v>
      </c>
      <c r="P62" s="147" t="s">
        <v>53</v>
      </c>
      <c r="Q62" s="163">
        <f t="shared" si="3"/>
        <v>52.5</v>
      </c>
      <c r="R62" s="166">
        <v>1</v>
      </c>
      <c r="S62" s="163">
        <f t="shared" si="4"/>
        <v>53.5</v>
      </c>
      <c r="T62" s="169">
        <v>1</v>
      </c>
    </row>
    <row r="63" spans="2:20" ht="20.25" customHeight="1">
      <c r="B63" s="124"/>
      <c r="C63" s="109">
        <f t="shared" ref="C63:C64" si="14">D63</f>
        <v>63</v>
      </c>
      <c r="D63" s="115">
        <f t="shared" si="1"/>
        <v>63</v>
      </c>
      <c r="E63" s="116" t="s">
        <v>742</v>
      </c>
      <c r="F63" s="121">
        <f>D19</f>
        <v>19</v>
      </c>
      <c r="G63" s="117"/>
      <c r="H63" s="117"/>
      <c r="I63" s="117"/>
      <c r="J63" s="117"/>
      <c r="K63" s="131"/>
      <c r="L63" s="131"/>
      <c r="M63" s="132"/>
      <c r="N63" s="117"/>
      <c r="O63" s="133"/>
      <c r="P63" s="117"/>
      <c r="Q63" s="163"/>
      <c r="R63" s="161"/>
      <c r="S63" s="163"/>
      <c r="T63" s="162"/>
    </row>
    <row r="64" spans="2:20" ht="20.25" customHeight="1">
      <c r="B64" s="124"/>
      <c r="C64" s="109">
        <f t="shared" si="14"/>
        <v>64</v>
      </c>
      <c r="D64" s="115">
        <f t="shared" si="1"/>
        <v>64</v>
      </c>
      <c r="E64" s="126" t="s">
        <v>101</v>
      </c>
      <c r="F64" s="121">
        <f>D3</f>
        <v>3</v>
      </c>
      <c r="G64" s="118"/>
      <c r="H64" s="118"/>
      <c r="I64" s="117"/>
      <c r="J64" s="117"/>
      <c r="K64" s="131"/>
      <c r="L64" s="131"/>
      <c r="M64" s="132"/>
      <c r="N64" s="117"/>
      <c r="O64" s="133"/>
      <c r="P64" s="117"/>
      <c r="Q64" s="163"/>
      <c r="R64" s="161"/>
      <c r="S64" s="163"/>
      <c r="T64" s="162"/>
    </row>
    <row r="65" spans="2:20" ht="20.25" customHeight="1">
      <c r="C65" s="109"/>
      <c r="D65" s="115">
        <f t="shared" si="1"/>
        <v>65</v>
      </c>
      <c r="E65" s="171" t="s">
        <v>102</v>
      </c>
      <c r="F65" s="121">
        <f>D64</f>
        <v>64</v>
      </c>
      <c r="G65" s="118" t="s">
        <v>44</v>
      </c>
      <c r="H65" s="118"/>
      <c r="I65" s="151" t="s">
        <v>103</v>
      </c>
      <c r="J65" s="117"/>
      <c r="K65" s="173">
        <v>2</v>
      </c>
      <c r="L65" s="131" t="s">
        <v>81</v>
      </c>
      <c r="M65" s="174">
        <f>K65</f>
        <v>2</v>
      </c>
      <c r="N65" s="117" t="s">
        <v>81</v>
      </c>
      <c r="O65" s="133">
        <v>1</v>
      </c>
      <c r="P65" s="117"/>
      <c r="Q65" s="163">
        <f t="shared" si="3"/>
        <v>2</v>
      </c>
      <c r="R65" s="161">
        <v>1</v>
      </c>
      <c r="S65" s="163">
        <f t="shared" si="4"/>
        <v>3</v>
      </c>
      <c r="T65" s="167" t="s">
        <v>48</v>
      </c>
    </row>
    <row r="66" spans="2:20" ht="20.25" customHeight="1">
      <c r="C66" s="109"/>
      <c r="D66" s="115">
        <f t="shared" si="1"/>
        <v>66</v>
      </c>
      <c r="E66" s="171" t="s">
        <v>104</v>
      </c>
      <c r="F66" s="121">
        <f>D65</f>
        <v>65</v>
      </c>
      <c r="G66" s="118" t="s">
        <v>44</v>
      </c>
      <c r="H66" s="118"/>
      <c r="I66" s="151" t="s">
        <v>105</v>
      </c>
      <c r="J66" s="117"/>
      <c r="K66" s="173">
        <v>2</v>
      </c>
      <c r="L66" s="131" t="s">
        <v>81</v>
      </c>
      <c r="M66" s="174">
        <f>K66</f>
        <v>2</v>
      </c>
      <c r="N66" s="117" t="s">
        <v>81</v>
      </c>
      <c r="O66" s="133">
        <v>1</v>
      </c>
      <c r="P66" s="117"/>
      <c r="Q66" s="163">
        <f t="shared" si="3"/>
        <v>2</v>
      </c>
      <c r="R66" s="161">
        <v>1</v>
      </c>
      <c r="S66" s="163">
        <f t="shared" si="4"/>
        <v>3</v>
      </c>
      <c r="T66" s="167" t="s">
        <v>48</v>
      </c>
    </row>
    <row r="67" spans="2:20" ht="20.25" customHeight="1">
      <c r="C67" s="109"/>
      <c r="D67" s="115">
        <f t="shared" ref="D67:D130" si="15">D66+1</f>
        <v>67</v>
      </c>
      <c r="E67" s="171" t="s">
        <v>106</v>
      </c>
      <c r="F67" s="121">
        <f>D66</f>
        <v>66</v>
      </c>
      <c r="G67" s="118" t="s">
        <v>44</v>
      </c>
      <c r="H67" s="118"/>
      <c r="I67" s="117"/>
      <c r="J67" s="117"/>
      <c r="K67" s="173">
        <f>K66+K65</f>
        <v>4</v>
      </c>
      <c r="L67" s="131" t="s">
        <v>81</v>
      </c>
      <c r="M67" s="174">
        <f>K67</f>
        <v>4</v>
      </c>
      <c r="N67" s="117" t="s">
        <v>81</v>
      </c>
      <c r="O67" s="133">
        <v>0.5</v>
      </c>
      <c r="P67" s="117"/>
      <c r="Q67" s="163">
        <f t="shared" si="3"/>
        <v>2</v>
      </c>
      <c r="R67" s="161">
        <v>1</v>
      </c>
      <c r="S67" s="163">
        <f t="shared" si="4"/>
        <v>3</v>
      </c>
      <c r="T67" s="167" t="s">
        <v>48</v>
      </c>
    </row>
    <row r="68" spans="2:20" ht="20.25" customHeight="1">
      <c r="B68" s="124"/>
      <c r="C68" s="109">
        <f>D68</f>
        <v>68</v>
      </c>
      <c r="D68" s="115">
        <f t="shared" si="15"/>
        <v>68</v>
      </c>
      <c r="E68" s="126" t="s">
        <v>107</v>
      </c>
      <c r="F68" s="121">
        <f>D64</f>
        <v>64</v>
      </c>
      <c r="G68" s="118"/>
      <c r="H68" s="118"/>
      <c r="I68" s="117"/>
      <c r="J68" s="117"/>
      <c r="K68" s="131"/>
      <c r="L68" s="131"/>
      <c r="M68" s="132"/>
      <c r="N68" s="117"/>
      <c r="O68" s="133"/>
      <c r="P68" s="117"/>
      <c r="Q68" s="163"/>
      <c r="R68" s="161"/>
      <c r="S68" s="163"/>
      <c r="T68" s="162"/>
    </row>
    <row r="69" spans="2:20" ht="20.25" customHeight="1">
      <c r="C69" s="109"/>
      <c r="D69" s="115">
        <f t="shared" si="15"/>
        <v>69</v>
      </c>
      <c r="E69" s="172" t="s">
        <v>102</v>
      </c>
      <c r="F69" s="121">
        <f>D68</f>
        <v>68</v>
      </c>
      <c r="G69" s="118" t="s">
        <v>52</v>
      </c>
      <c r="H69" s="118"/>
      <c r="I69" s="133" t="str">
        <f>I65</f>
        <v>26" nb</v>
      </c>
      <c r="J69" s="117"/>
      <c r="K69" s="133">
        <f>K65</f>
        <v>2</v>
      </c>
      <c r="L69" s="131" t="s">
        <v>81</v>
      </c>
      <c r="M69" s="174">
        <f>K69</f>
        <v>2</v>
      </c>
      <c r="N69" s="117" t="s">
        <v>81</v>
      </c>
      <c r="O69" s="133">
        <v>0</v>
      </c>
      <c r="P69" s="117"/>
      <c r="Q69" s="163">
        <f t="shared" si="3"/>
        <v>0</v>
      </c>
      <c r="R69" s="161">
        <v>0</v>
      </c>
      <c r="S69" s="163">
        <f t="shared" si="4"/>
        <v>0</v>
      </c>
      <c r="T69" s="167" t="s">
        <v>48</v>
      </c>
    </row>
    <row r="70" spans="2:20" ht="20.25" customHeight="1">
      <c r="C70" s="109"/>
      <c r="D70" s="115">
        <f t="shared" si="15"/>
        <v>70</v>
      </c>
      <c r="E70" s="172" t="s">
        <v>104</v>
      </c>
      <c r="F70" s="121">
        <f>D69</f>
        <v>69</v>
      </c>
      <c r="G70" s="118" t="s">
        <v>52</v>
      </c>
      <c r="H70" s="118"/>
      <c r="I70" s="133" t="str">
        <f>I66</f>
        <v>2"nb</v>
      </c>
      <c r="J70" s="117"/>
      <c r="K70" s="133">
        <f>K66</f>
        <v>2</v>
      </c>
      <c r="L70" s="131" t="s">
        <v>81</v>
      </c>
      <c r="M70" s="174">
        <f>K70</f>
        <v>2</v>
      </c>
      <c r="N70" s="117" t="s">
        <v>81</v>
      </c>
      <c r="O70" s="133">
        <v>0</v>
      </c>
      <c r="P70" s="117"/>
      <c r="Q70" s="163">
        <f t="shared" si="3"/>
        <v>0</v>
      </c>
      <c r="R70" s="161">
        <v>0</v>
      </c>
      <c r="S70" s="163">
        <f t="shared" si="4"/>
        <v>0</v>
      </c>
      <c r="T70" s="167" t="s">
        <v>48</v>
      </c>
    </row>
    <row r="71" spans="2:20" ht="20.25" customHeight="1">
      <c r="C71" s="109"/>
      <c r="D71" s="115">
        <f t="shared" si="15"/>
        <v>71</v>
      </c>
      <c r="E71" s="172" t="s">
        <v>106</v>
      </c>
      <c r="F71" s="121">
        <f>D70</f>
        <v>70</v>
      </c>
      <c r="G71" s="118" t="s">
        <v>52</v>
      </c>
      <c r="H71" s="118"/>
      <c r="I71" s="117"/>
      <c r="J71" s="117"/>
      <c r="K71" s="133">
        <f>K70+K69</f>
        <v>4</v>
      </c>
      <c r="L71" s="131" t="s">
        <v>81</v>
      </c>
      <c r="M71" s="174">
        <f>K71</f>
        <v>4</v>
      </c>
      <c r="N71" s="117" t="s">
        <v>81</v>
      </c>
      <c r="O71" s="133">
        <v>0</v>
      </c>
      <c r="P71" s="117"/>
      <c r="Q71" s="163">
        <f t="shared" si="3"/>
        <v>0</v>
      </c>
      <c r="R71" s="161">
        <v>0</v>
      </c>
      <c r="S71" s="163">
        <f t="shared" si="4"/>
        <v>0</v>
      </c>
      <c r="T71" s="167" t="s">
        <v>48</v>
      </c>
    </row>
    <row r="72" spans="2:20" ht="20.25" customHeight="1">
      <c r="B72" s="124"/>
      <c r="C72" s="109">
        <f>D72</f>
        <v>72</v>
      </c>
      <c r="D72" s="115">
        <f t="shared" si="15"/>
        <v>72</v>
      </c>
      <c r="E72" s="126" t="s">
        <v>108</v>
      </c>
      <c r="F72" s="121">
        <f>D68</f>
        <v>68</v>
      </c>
      <c r="G72" s="118"/>
      <c r="H72" s="118"/>
      <c r="I72" s="117"/>
      <c r="J72" s="117"/>
      <c r="K72" s="131"/>
      <c r="L72" s="131"/>
      <c r="M72" s="132"/>
      <c r="N72" s="117"/>
      <c r="O72" s="133"/>
      <c r="P72" s="117"/>
      <c r="Q72" s="163"/>
      <c r="R72" s="161"/>
      <c r="S72" s="163"/>
      <c r="T72" s="162"/>
    </row>
    <row r="73" spans="2:20" ht="20.25" customHeight="1">
      <c r="C73" s="109"/>
      <c r="D73" s="115">
        <f t="shared" si="15"/>
        <v>73</v>
      </c>
      <c r="E73" s="171" t="s">
        <v>102</v>
      </c>
      <c r="F73" s="121">
        <f>D72</f>
        <v>72</v>
      </c>
      <c r="G73" s="118" t="s">
        <v>52</v>
      </c>
      <c r="H73" s="118"/>
      <c r="I73" s="133" t="str">
        <f>I65</f>
        <v>26" nb</v>
      </c>
      <c r="J73" s="117"/>
      <c r="K73" s="131">
        <f>K65</f>
        <v>2</v>
      </c>
      <c r="L73" s="131" t="s">
        <v>81</v>
      </c>
      <c r="M73" s="174">
        <v>2</v>
      </c>
      <c r="N73" s="117" t="s">
        <v>81</v>
      </c>
      <c r="O73" s="133">
        <v>4</v>
      </c>
      <c r="P73" s="117"/>
      <c r="Q73" s="163">
        <f t="shared" si="3"/>
        <v>8</v>
      </c>
      <c r="R73" s="161">
        <v>0</v>
      </c>
      <c r="S73" s="163">
        <f t="shared" si="4"/>
        <v>8</v>
      </c>
      <c r="T73" s="167" t="s">
        <v>48</v>
      </c>
    </row>
    <row r="74" spans="2:20" ht="20.25" customHeight="1">
      <c r="C74" s="109"/>
      <c r="D74" s="115">
        <f t="shared" si="15"/>
        <v>74</v>
      </c>
      <c r="E74" s="171" t="s">
        <v>104</v>
      </c>
      <c r="F74" s="121">
        <f>D73</f>
        <v>73</v>
      </c>
      <c r="G74" s="118" t="s">
        <v>52</v>
      </c>
      <c r="H74" s="118"/>
      <c r="I74" s="133" t="str">
        <f>I66</f>
        <v>2"nb</v>
      </c>
      <c r="J74" s="117"/>
      <c r="K74" s="131">
        <f>K66</f>
        <v>2</v>
      </c>
      <c r="L74" s="131" t="s">
        <v>81</v>
      </c>
      <c r="M74" s="174">
        <v>2</v>
      </c>
      <c r="N74" s="117" t="s">
        <v>81</v>
      </c>
      <c r="O74" s="133">
        <v>0</v>
      </c>
      <c r="P74" s="117"/>
      <c r="Q74" s="163">
        <f t="shared" si="3"/>
        <v>0</v>
      </c>
      <c r="R74" s="161">
        <v>0</v>
      </c>
      <c r="S74" s="163">
        <f t="shared" si="4"/>
        <v>0</v>
      </c>
      <c r="T74" s="167" t="s">
        <v>48</v>
      </c>
    </row>
    <row r="75" spans="2:20" ht="20.25" customHeight="1">
      <c r="C75" s="109"/>
      <c r="D75" s="115">
        <f t="shared" si="15"/>
        <v>75</v>
      </c>
      <c r="E75" s="171" t="s">
        <v>109</v>
      </c>
      <c r="F75" s="121">
        <f>D74</f>
        <v>74</v>
      </c>
      <c r="G75" s="118" t="s">
        <v>52</v>
      </c>
      <c r="H75" s="118"/>
      <c r="I75" s="117"/>
      <c r="J75" s="117"/>
      <c r="K75" s="154">
        <f>K74+K73</f>
        <v>4</v>
      </c>
      <c r="L75" s="131" t="s">
        <v>81</v>
      </c>
      <c r="M75" s="174">
        <v>4</v>
      </c>
      <c r="N75" s="117" t="s">
        <v>81</v>
      </c>
      <c r="O75" s="133">
        <v>0</v>
      </c>
      <c r="P75" s="117"/>
      <c r="Q75" s="163">
        <f t="shared" si="3"/>
        <v>0</v>
      </c>
      <c r="R75" s="161">
        <v>0</v>
      </c>
      <c r="S75" s="163">
        <f t="shared" si="4"/>
        <v>0</v>
      </c>
      <c r="T75" s="167" t="s">
        <v>48</v>
      </c>
    </row>
    <row r="76" spans="2:20" ht="20.25" customHeight="1">
      <c r="B76" s="124"/>
      <c r="C76" s="109">
        <f>D76</f>
        <v>76</v>
      </c>
      <c r="D76" s="115">
        <f t="shared" si="15"/>
        <v>76</v>
      </c>
      <c r="E76" s="126" t="s">
        <v>110</v>
      </c>
      <c r="F76" s="121">
        <f>D72</f>
        <v>72</v>
      </c>
      <c r="G76" s="118"/>
      <c r="H76" s="118"/>
      <c r="I76" s="117"/>
      <c r="J76" s="117"/>
      <c r="K76" s="131"/>
      <c r="L76" s="131"/>
      <c r="M76" s="132"/>
      <c r="N76" s="117"/>
      <c r="O76" s="133"/>
      <c r="P76" s="117"/>
      <c r="Q76" s="163"/>
      <c r="R76" s="161"/>
      <c r="S76" s="163"/>
      <c r="T76" s="162"/>
    </row>
    <row r="77" spans="2:20" ht="20.25" customHeight="1">
      <c r="C77" s="109"/>
      <c r="D77" s="115">
        <f t="shared" si="15"/>
        <v>77</v>
      </c>
      <c r="E77" s="172" t="s">
        <v>102</v>
      </c>
      <c r="F77" s="121">
        <f>D76</f>
        <v>76</v>
      </c>
      <c r="G77" s="118" t="s">
        <v>626</v>
      </c>
      <c r="H77" s="118"/>
      <c r="I77" s="133" t="str">
        <f>I65</f>
        <v>26" nb</v>
      </c>
      <c r="J77" s="117"/>
      <c r="K77" s="131">
        <v>2</v>
      </c>
      <c r="L77" s="131" t="s">
        <v>50</v>
      </c>
      <c r="M77" s="174">
        <v>2</v>
      </c>
      <c r="N77" s="117" t="s">
        <v>50</v>
      </c>
      <c r="O77" s="133">
        <v>4</v>
      </c>
      <c r="P77" s="117" t="s">
        <v>112</v>
      </c>
      <c r="Q77" s="163">
        <f t="shared" si="3"/>
        <v>8</v>
      </c>
      <c r="R77" s="161">
        <v>1</v>
      </c>
      <c r="S77" s="163">
        <f t="shared" si="4"/>
        <v>9</v>
      </c>
      <c r="T77" s="167" t="s">
        <v>48</v>
      </c>
    </row>
    <row r="78" spans="2:20" ht="20.25" customHeight="1">
      <c r="C78" s="109"/>
      <c r="D78" s="115">
        <f t="shared" si="15"/>
        <v>78</v>
      </c>
      <c r="E78" s="172" t="s">
        <v>104</v>
      </c>
      <c r="F78" s="121">
        <f>D77</f>
        <v>77</v>
      </c>
      <c r="G78" s="118" t="s">
        <v>626</v>
      </c>
      <c r="H78" s="118"/>
      <c r="I78" s="133" t="str">
        <f>I66</f>
        <v>2"nb</v>
      </c>
      <c r="J78" s="117"/>
      <c r="K78" s="131">
        <v>2</v>
      </c>
      <c r="L78" s="131" t="s">
        <v>50</v>
      </c>
      <c r="M78" s="174">
        <v>2</v>
      </c>
      <c r="N78" s="117" t="s">
        <v>50</v>
      </c>
      <c r="O78" s="133">
        <v>0</v>
      </c>
      <c r="P78" s="117" t="s">
        <v>112</v>
      </c>
      <c r="Q78" s="163">
        <f t="shared" si="3"/>
        <v>0</v>
      </c>
      <c r="R78" s="161">
        <v>1</v>
      </c>
      <c r="S78" s="163">
        <f t="shared" si="4"/>
        <v>1</v>
      </c>
      <c r="T78" s="167" t="s">
        <v>48</v>
      </c>
    </row>
    <row r="79" spans="2:20" ht="20.25" customHeight="1">
      <c r="C79" s="109"/>
      <c r="D79" s="115">
        <f t="shared" si="15"/>
        <v>79</v>
      </c>
      <c r="E79" s="172" t="s">
        <v>113</v>
      </c>
      <c r="F79" s="121">
        <f>D78</f>
        <v>78</v>
      </c>
      <c r="G79" s="118" t="s">
        <v>626</v>
      </c>
      <c r="H79" s="118"/>
      <c r="I79" s="117"/>
      <c r="J79" s="117"/>
      <c r="K79" s="131">
        <v>4</v>
      </c>
      <c r="L79" s="131" t="s">
        <v>50</v>
      </c>
      <c r="M79" s="174">
        <v>4</v>
      </c>
      <c r="N79" s="117" t="s">
        <v>50</v>
      </c>
      <c r="O79" s="133">
        <v>0.25</v>
      </c>
      <c r="P79" s="117" t="s">
        <v>112</v>
      </c>
      <c r="Q79" s="163">
        <f t="shared" si="3"/>
        <v>1</v>
      </c>
      <c r="R79" s="161">
        <v>1</v>
      </c>
      <c r="S79" s="163">
        <f t="shared" si="4"/>
        <v>2</v>
      </c>
      <c r="T79" s="167" t="s">
        <v>48</v>
      </c>
    </row>
    <row r="80" spans="2:20" ht="20.25" customHeight="1">
      <c r="B80" s="124"/>
      <c r="C80" s="109">
        <f>D80</f>
        <v>80</v>
      </c>
      <c r="D80" s="115">
        <f t="shared" si="15"/>
        <v>80</v>
      </c>
      <c r="E80" s="126" t="s">
        <v>114</v>
      </c>
      <c r="F80" s="121">
        <f>D76</f>
        <v>76</v>
      </c>
      <c r="G80" s="118"/>
      <c r="H80" s="118"/>
      <c r="I80" s="117"/>
      <c r="J80" s="117"/>
      <c r="K80" s="131"/>
      <c r="L80" s="131"/>
      <c r="M80" s="132"/>
      <c r="N80" s="117"/>
      <c r="O80" s="133"/>
      <c r="P80" s="117"/>
      <c r="Q80" s="163"/>
      <c r="R80" s="161"/>
      <c r="S80" s="163"/>
      <c r="T80" s="162"/>
    </row>
    <row r="81" spans="2:20" ht="20.25" customHeight="1">
      <c r="C81" s="109"/>
      <c r="D81" s="115">
        <f t="shared" si="15"/>
        <v>81</v>
      </c>
      <c r="E81" s="171" t="s">
        <v>102</v>
      </c>
      <c r="F81" s="121">
        <f>D80</f>
        <v>80</v>
      </c>
      <c r="G81" s="118" t="s">
        <v>115</v>
      </c>
      <c r="H81" s="118"/>
      <c r="I81" s="151" t="s">
        <v>116</v>
      </c>
      <c r="J81" s="151" t="s">
        <v>117</v>
      </c>
      <c r="K81" s="131">
        <v>2</v>
      </c>
      <c r="L81" s="131" t="s">
        <v>50</v>
      </c>
      <c r="M81" s="141">
        <f>LEFT(J81,SEARCH(" ",J81,1)-1)*K81*0.001</f>
        <v>6.1080000000000005</v>
      </c>
      <c r="N81" s="117" t="s">
        <v>50</v>
      </c>
      <c r="O81" s="175">
        <f>6.12</f>
        <v>6.12</v>
      </c>
      <c r="P81" s="117" t="s">
        <v>112</v>
      </c>
      <c r="Q81" s="163">
        <f>M81*O81</f>
        <v>37.380960000000002</v>
      </c>
      <c r="R81" s="161">
        <v>1</v>
      </c>
      <c r="S81" s="163">
        <f t="shared" si="4"/>
        <v>38.380960000000002</v>
      </c>
      <c r="T81" s="167" t="s">
        <v>48</v>
      </c>
    </row>
    <row r="82" spans="2:20" ht="20.25" customHeight="1">
      <c r="C82" s="109"/>
      <c r="D82" s="115">
        <f t="shared" si="15"/>
        <v>82</v>
      </c>
      <c r="E82" s="171" t="s">
        <v>104</v>
      </c>
      <c r="F82" s="121">
        <f>D81</f>
        <v>81</v>
      </c>
      <c r="G82" s="118" t="s">
        <v>115</v>
      </c>
      <c r="H82" s="118"/>
      <c r="I82" s="173" t="str">
        <f>I70</f>
        <v>2"nb</v>
      </c>
      <c r="J82" s="117"/>
      <c r="K82" s="131">
        <v>2</v>
      </c>
      <c r="L82" s="131" t="s">
        <v>50</v>
      </c>
      <c r="M82" s="174">
        <v>0</v>
      </c>
      <c r="N82" s="117" t="s">
        <v>50</v>
      </c>
      <c r="O82" s="175"/>
      <c r="P82" s="117" t="s">
        <v>112</v>
      </c>
      <c r="Q82" s="163">
        <f t="shared" si="3"/>
        <v>0</v>
      </c>
      <c r="R82" s="161"/>
      <c r="S82" s="163">
        <f t="shared" si="4"/>
        <v>0</v>
      </c>
      <c r="T82" s="167" t="s">
        <v>48</v>
      </c>
    </row>
    <row r="83" spans="2:20" ht="20.25" customHeight="1">
      <c r="C83" s="109"/>
      <c r="D83" s="115">
        <f t="shared" si="15"/>
        <v>83</v>
      </c>
      <c r="E83" s="171" t="s">
        <v>109</v>
      </c>
      <c r="F83" s="121">
        <f>D82</f>
        <v>82</v>
      </c>
      <c r="G83" s="118" t="s">
        <v>115</v>
      </c>
      <c r="H83" s="118"/>
      <c r="I83" s="117"/>
      <c r="J83" s="117"/>
      <c r="K83" s="131">
        <v>4</v>
      </c>
      <c r="L83" s="131" t="s">
        <v>50</v>
      </c>
      <c r="M83" s="174">
        <v>4</v>
      </c>
      <c r="N83" s="117" t="s">
        <v>50</v>
      </c>
      <c r="O83" s="133">
        <v>0.25</v>
      </c>
      <c r="P83" s="117" t="s">
        <v>112</v>
      </c>
      <c r="Q83" s="163">
        <f t="shared" si="3"/>
        <v>1</v>
      </c>
      <c r="R83" s="161">
        <v>1</v>
      </c>
      <c r="S83" s="163">
        <f t="shared" si="4"/>
        <v>2</v>
      </c>
      <c r="T83" s="167" t="s">
        <v>48</v>
      </c>
    </row>
    <row r="84" spans="2:20" ht="20.25" customHeight="1">
      <c r="B84" s="124"/>
      <c r="C84" s="109">
        <f>D84</f>
        <v>84</v>
      </c>
      <c r="D84" s="115">
        <f t="shared" si="15"/>
        <v>84</v>
      </c>
      <c r="E84" s="126" t="s">
        <v>119</v>
      </c>
      <c r="F84" s="121">
        <f>D80</f>
        <v>80</v>
      </c>
      <c r="G84" s="118"/>
      <c r="H84" s="118"/>
      <c r="I84" s="117"/>
      <c r="J84" s="117"/>
      <c r="K84" s="131"/>
      <c r="L84" s="131"/>
      <c r="M84" s="132"/>
      <c r="N84" s="117"/>
      <c r="O84" s="133"/>
      <c r="P84" s="117"/>
      <c r="Q84" s="163"/>
      <c r="R84" s="161"/>
      <c r="S84" s="163"/>
      <c r="T84" s="162"/>
    </row>
    <row r="85" spans="2:20" ht="20.25" customHeight="1">
      <c r="C85" s="109"/>
      <c r="D85" s="115">
        <f t="shared" si="15"/>
        <v>85</v>
      </c>
      <c r="E85" s="172" t="s">
        <v>102</v>
      </c>
      <c r="F85" s="121">
        <f>D84</f>
        <v>84</v>
      </c>
      <c r="G85" s="118" t="s">
        <v>44</v>
      </c>
      <c r="H85" s="118"/>
      <c r="I85" s="133" t="str">
        <f>I73</f>
        <v>26" nb</v>
      </c>
      <c r="J85" s="117"/>
      <c r="K85" s="131">
        <v>2</v>
      </c>
      <c r="L85" s="131" t="s">
        <v>50</v>
      </c>
      <c r="M85" s="132">
        <v>1</v>
      </c>
      <c r="N85" s="117" t="s">
        <v>50</v>
      </c>
      <c r="O85" s="175">
        <v>4</v>
      </c>
      <c r="P85" s="117" t="s">
        <v>112</v>
      </c>
      <c r="Q85" s="163">
        <f t="shared" si="3"/>
        <v>4</v>
      </c>
      <c r="R85" s="161">
        <v>1</v>
      </c>
      <c r="S85" s="163">
        <f t="shared" si="4"/>
        <v>5</v>
      </c>
      <c r="T85" s="167" t="s">
        <v>48</v>
      </c>
    </row>
    <row r="86" spans="2:20" ht="20.25" customHeight="1">
      <c r="C86" s="109"/>
      <c r="D86" s="115">
        <f t="shared" si="15"/>
        <v>86</v>
      </c>
      <c r="E86" s="172" t="s">
        <v>104</v>
      </c>
      <c r="F86" s="121">
        <f>D85</f>
        <v>85</v>
      </c>
      <c r="G86" s="118" t="s">
        <v>44</v>
      </c>
      <c r="H86" s="118"/>
      <c r="I86" s="133" t="str">
        <f>I74</f>
        <v>2"nb</v>
      </c>
      <c r="J86" s="117"/>
      <c r="K86" s="131">
        <v>2</v>
      </c>
      <c r="L86" s="131" t="s">
        <v>50</v>
      </c>
      <c r="M86" s="132">
        <v>1</v>
      </c>
      <c r="N86" s="117" t="s">
        <v>50</v>
      </c>
      <c r="O86" s="175">
        <v>1</v>
      </c>
      <c r="P86" s="117" t="s">
        <v>112</v>
      </c>
      <c r="Q86" s="163">
        <f t="shared" si="3"/>
        <v>1</v>
      </c>
      <c r="R86" s="161">
        <v>1</v>
      </c>
      <c r="S86" s="163">
        <f t="shared" si="4"/>
        <v>2</v>
      </c>
      <c r="T86" s="167" t="s">
        <v>48</v>
      </c>
    </row>
    <row r="87" spans="2:20" ht="20.25" customHeight="1">
      <c r="C87" s="109"/>
      <c r="D87" s="115">
        <f t="shared" si="15"/>
        <v>87</v>
      </c>
      <c r="E87" s="172" t="s">
        <v>109</v>
      </c>
      <c r="F87" s="121">
        <f>D86</f>
        <v>86</v>
      </c>
      <c r="G87" s="118" t="s">
        <v>44</v>
      </c>
      <c r="H87" s="118"/>
      <c r="I87" s="117"/>
      <c r="J87" s="117"/>
      <c r="K87" s="131">
        <v>4</v>
      </c>
      <c r="L87" s="131" t="s">
        <v>50</v>
      </c>
      <c r="M87" s="132">
        <v>1</v>
      </c>
      <c r="N87" s="117" t="s">
        <v>50</v>
      </c>
      <c r="O87" s="133">
        <v>1</v>
      </c>
      <c r="P87" s="117" t="s">
        <v>112</v>
      </c>
      <c r="Q87" s="163">
        <f t="shared" si="3"/>
        <v>1</v>
      </c>
      <c r="R87" s="161">
        <v>1</v>
      </c>
      <c r="S87" s="163">
        <f t="shared" si="4"/>
        <v>2</v>
      </c>
      <c r="T87" s="167" t="s">
        <v>48</v>
      </c>
    </row>
    <row r="88" spans="2:20" ht="20.25" customHeight="1">
      <c r="B88" s="124"/>
      <c r="C88" s="109">
        <f>D88</f>
        <v>88</v>
      </c>
      <c r="D88" s="115">
        <f t="shared" si="15"/>
        <v>88</v>
      </c>
      <c r="E88" s="126" t="s">
        <v>743</v>
      </c>
      <c r="F88" s="121">
        <f>D84</f>
        <v>84</v>
      </c>
      <c r="G88" s="118"/>
      <c r="H88" s="118"/>
      <c r="I88" s="117"/>
      <c r="J88" s="117"/>
      <c r="K88" s="131"/>
      <c r="L88" s="131"/>
      <c r="M88" s="132"/>
      <c r="N88" s="117"/>
      <c r="O88" s="133"/>
      <c r="P88" s="117"/>
      <c r="Q88" s="163"/>
      <c r="R88" s="161"/>
      <c r="S88" s="163"/>
      <c r="T88" s="162"/>
    </row>
    <row r="89" spans="2:20" ht="20.25" customHeight="1">
      <c r="C89" s="109"/>
      <c r="D89" s="115">
        <f t="shared" si="15"/>
        <v>89</v>
      </c>
      <c r="E89" s="171" t="s">
        <v>102</v>
      </c>
      <c r="F89" s="121">
        <f>D88</f>
        <v>88</v>
      </c>
      <c r="G89" s="118" t="s">
        <v>121</v>
      </c>
      <c r="H89" s="118"/>
      <c r="I89" s="133" t="str">
        <f>I77</f>
        <v>26" nb</v>
      </c>
      <c r="J89" s="117"/>
      <c r="K89" s="131">
        <v>2</v>
      </c>
      <c r="L89" s="131" t="s">
        <v>50</v>
      </c>
      <c r="M89" s="132">
        <v>0</v>
      </c>
      <c r="N89" s="117" t="s">
        <v>50</v>
      </c>
      <c r="O89" s="175"/>
      <c r="P89" s="117" t="s">
        <v>112</v>
      </c>
      <c r="Q89" s="163">
        <f t="shared" si="3"/>
        <v>0</v>
      </c>
      <c r="R89" s="161">
        <v>1</v>
      </c>
      <c r="S89" s="163">
        <f t="shared" si="4"/>
        <v>1</v>
      </c>
      <c r="T89" s="167" t="s">
        <v>48</v>
      </c>
    </row>
    <row r="90" spans="2:20" ht="20.25" customHeight="1">
      <c r="C90" s="109"/>
      <c r="D90" s="115">
        <f t="shared" si="15"/>
        <v>90</v>
      </c>
      <c r="E90" s="171" t="s">
        <v>104</v>
      </c>
      <c r="F90" s="121">
        <f>D89</f>
        <v>89</v>
      </c>
      <c r="G90" s="118" t="s">
        <v>121</v>
      </c>
      <c r="H90" s="118"/>
      <c r="I90" s="133" t="str">
        <f>I78</f>
        <v>2"nb</v>
      </c>
      <c r="J90" s="117"/>
      <c r="K90" s="131">
        <v>2</v>
      </c>
      <c r="L90" s="131" t="s">
        <v>50</v>
      </c>
      <c r="M90" s="132">
        <v>0</v>
      </c>
      <c r="N90" s="117" t="s">
        <v>50</v>
      </c>
      <c r="O90" s="175"/>
      <c r="P90" s="117" t="s">
        <v>112</v>
      </c>
      <c r="Q90" s="163">
        <f t="shared" si="3"/>
        <v>0</v>
      </c>
      <c r="R90" s="161">
        <v>1</v>
      </c>
      <c r="S90" s="163">
        <f t="shared" si="4"/>
        <v>1</v>
      </c>
      <c r="T90" s="167" t="s">
        <v>48</v>
      </c>
    </row>
    <row r="91" spans="2:20" ht="20.25" customHeight="1">
      <c r="C91" s="109"/>
      <c r="D91" s="115">
        <f t="shared" si="15"/>
        <v>91</v>
      </c>
      <c r="E91" s="171" t="s">
        <v>109</v>
      </c>
      <c r="F91" s="121">
        <f>D90</f>
        <v>90</v>
      </c>
      <c r="G91" s="118" t="s">
        <v>121</v>
      </c>
      <c r="H91" s="118"/>
      <c r="I91" s="117"/>
      <c r="J91" s="117"/>
      <c r="K91" s="131">
        <v>4</v>
      </c>
      <c r="L91" s="131" t="s">
        <v>50</v>
      </c>
      <c r="M91" s="132">
        <v>0</v>
      </c>
      <c r="N91" s="117" t="s">
        <v>50</v>
      </c>
      <c r="O91" s="133"/>
      <c r="P91" s="117" t="s">
        <v>112</v>
      </c>
      <c r="Q91" s="163">
        <f t="shared" si="3"/>
        <v>0</v>
      </c>
      <c r="R91" s="161">
        <v>1</v>
      </c>
      <c r="S91" s="163">
        <f t="shared" si="4"/>
        <v>1</v>
      </c>
      <c r="T91" s="167" t="s">
        <v>48</v>
      </c>
    </row>
    <row r="92" spans="2:20" ht="20.25" customHeight="1">
      <c r="B92" s="124"/>
      <c r="C92" s="109">
        <f>D92</f>
        <v>92</v>
      </c>
      <c r="D92" s="115">
        <f t="shared" si="15"/>
        <v>92</v>
      </c>
      <c r="E92" s="126" t="s">
        <v>744</v>
      </c>
      <c r="F92" s="121">
        <f>D88</f>
        <v>88</v>
      </c>
      <c r="G92" s="118"/>
      <c r="H92" s="118"/>
      <c r="I92" s="117"/>
      <c r="J92" s="117"/>
      <c r="K92" s="131"/>
      <c r="L92" s="131"/>
      <c r="M92" s="132"/>
      <c r="N92" s="117"/>
      <c r="O92" s="133"/>
      <c r="P92" s="117"/>
      <c r="Q92" s="163"/>
      <c r="R92" s="161"/>
      <c r="S92" s="163"/>
      <c r="T92" s="162"/>
    </row>
    <row r="93" spans="2:20" ht="20.25" customHeight="1">
      <c r="C93" s="109"/>
      <c r="D93" s="115">
        <f t="shared" si="15"/>
        <v>93</v>
      </c>
      <c r="E93" s="172" t="s">
        <v>102</v>
      </c>
      <c r="F93" s="121">
        <f t="shared" ref="F93:F156" si="16">D92</f>
        <v>92</v>
      </c>
      <c r="G93" s="118" t="s">
        <v>121</v>
      </c>
      <c r="H93" s="118"/>
      <c r="I93" s="145" t="s">
        <v>123</v>
      </c>
      <c r="J93" s="151" t="s">
        <v>117</v>
      </c>
      <c r="K93" s="131">
        <v>2</v>
      </c>
      <c r="L93" s="131" t="s">
        <v>50</v>
      </c>
      <c r="M93" s="141">
        <f>LEFT(J93,SEARCH(" ",J93,1)-1)*K93*0.001</f>
        <v>6.1080000000000005</v>
      </c>
      <c r="N93" s="117" t="s">
        <v>50</v>
      </c>
      <c r="O93" s="175">
        <v>1</v>
      </c>
      <c r="P93" s="117" t="s">
        <v>112</v>
      </c>
      <c r="Q93" s="163">
        <f t="shared" ref="Q93:Q155" si="17">M93*O93</f>
        <v>6.1080000000000005</v>
      </c>
      <c r="R93" s="161">
        <v>1</v>
      </c>
      <c r="S93" s="163">
        <f t="shared" ref="S93:S155" si="18">Q93+R93</f>
        <v>7.1080000000000005</v>
      </c>
      <c r="T93" s="167" t="s">
        <v>48</v>
      </c>
    </row>
    <row r="94" spans="2:20" ht="20.25" customHeight="1">
      <c r="C94" s="109"/>
      <c r="D94" s="115">
        <f t="shared" si="15"/>
        <v>94</v>
      </c>
      <c r="E94" s="172" t="s">
        <v>104</v>
      </c>
      <c r="F94" s="121">
        <f t="shared" si="16"/>
        <v>93</v>
      </c>
      <c r="G94" s="118" t="s">
        <v>121</v>
      </c>
      <c r="H94" s="118"/>
      <c r="I94" s="117">
        <v>18</v>
      </c>
      <c r="J94" s="125" t="s">
        <v>745</v>
      </c>
      <c r="K94" s="131">
        <v>2</v>
      </c>
      <c r="L94" s="131" t="s">
        <v>50</v>
      </c>
      <c r="M94" s="141">
        <f>LEFT(J94,SEARCH(" ",J94,1)-1)*K94*0.001</f>
        <v>0.54400000000000004</v>
      </c>
      <c r="N94" s="117" t="s">
        <v>50</v>
      </c>
      <c r="O94" s="175">
        <v>0.5</v>
      </c>
      <c r="P94" s="117" t="s">
        <v>112</v>
      </c>
      <c r="Q94" s="163">
        <f t="shared" si="17"/>
        <v>0.27200000000000002</v>
      </c>
      <c r="R94" s="161">
        <v>1</v>
      </c>
      <c r="S94" s="163">
        <f t="shared" si="18"/>
        <v>1.272</v>
      </c>
      <c r="T94" s="167" t="s">
        <v>48</v>
      </c>
    </row>
    <row r="95" spans="2:20" ht="20.25" customHeight="1">
      <c r="C95" s="109"/>
      <c r="D95" s="115">
        <f t="shared" si="15"/>
        <v>95</v>
      </c>
      <c r="E95" s="172" t="s">
        <v>109</v>
      </c>
      <c r="F95" s="121">
        <f t="shared" si="16"/>
        <v>94</v>
      </c>
      <c r="G95" s="118" t="s">
        <v>121</v>
      </c>
      <c r="H95" s="118"/>
      <c r="I95" s="117"/>
      <c r="J95" s="117"/>
      <c r="K95" s="131">
        <v>4</v>
      </c>
      <c r="L95" s="131" t="s">
        <v>50</v>
      </c>
      <c r="M95" s="132">
        <v>1</v>
      </c>
      <c r="N95" s="117" t="s">
        <v>50</v>
      </c>
      <c r="O95" s="133">
        <v>1</v>
      </c>
      <c r="P95" s="117" t="s">
        <v>112</v>
      </c>
      <c r="Q95" s="163">
        <f t="shared" si="17"/>
        <v>1</v>
      </c>
      <c r="R95" s="161">
        <v>1</v>
      </c>
      <c r="S95" s="163">
        <f t="shared" si="18"/>
        <v>2</v>
      </c>
      <c r="T95" s="167" t="s">
        <v>48</v>
      </c>
    </row>
    <row r="96" spans="2:20" ht="20.25" customHeight="1">
      <c r="B96" s="124"/>
      <c r="C96" s="109">
        <f>D96</f>
        <v>96</v>
      </c>
      <c r="D96" s="115">
        <f t="shared" si="15"/>
        <v>96</v>
      </c>
      <c r="E96" s="126" t="s">
        <v>124</v>
      </c>
      <c r="F96" s="121">
        <f>D92</f>
        <v>92</v>
      </c>
      <c r="G96" s="118"/>
      <c r="H96" s="118"/>
      <c r="I96" s="117"/>
      <c r="J96" s="117"/>
      <c r="K96" s="131"/>
      <c r="L96" s="131"/>
      <c r="M96" s="132"/>
      <c r="N96" s="117"/>
      <c r="O96" s="133"/>
      <c r="P96" s="117"/>
      <c r="Q96" s="163"/>
      <c r="R96" s="161"/>
      <c r="S96" s="163"/>
      <c r="T96" s="162"/>
    </row>
    <row r="97" spans="2:20" ht="20.25" customHeight="1">
      <c r="C97" s="109"/>
      <c r="D97" s="115">
        <f t="shared" si="15"/>
        <v>97</v>
      </c>
      <c r="E97" s="119" t="s">
        <v>125</v>
      </c>
      <c r="F97" s="121">
        <f t="shared" si="16"/>
        <v>96</v>
      </c>
      <c r="G97" s="118" t="s">
        <v>44</v>
      </c>
      <c r="H97" s="118"/>
      <c r="I97" s="151" t="s">
        <v>103</v>
      </c>
      <c r="J97" s="117"/>
      <c r="K97" s="173">
        <v>2</v>
      </c>
      <c r="L97" s="131" t="s">
        <v>81</v>
      </c>
      <c r="M97" s="174">
        <f>K97</f>
        <v>2</v>
      </c>
      <c r="N97" s="117" t="s">
        <v>81</v>
      </c>
      <c r="O97" s="133">
        <v>1</v>
      </c>
      <c r="P97" s="117"/>
      <c r="Q97" s="163">
        <f t="shared" ref="Q97:Q99" si="19">M97*O97</f>
        <v>2</v>
      </c>
      <c r="R97" s="161">
        <v>1</v>
      </c>
      <c r="S97" s="163">
        <f t="shared" ref="S97:S99" si="20">Q97+R97</f>
        <v>3</v>
      </c>
      <c r="T97" s="167" t="s">
        <v>48</v>
      </c>
    </row>
    <row r="98" spans="2:20" ht="20.25" customHeight="1">
      <c r="C98" s="109"/>
      <c r="D98" s="115">
        <f t="shared" si="15"/>
        <v>98</v>
      </c>
      <c r="E98" s="119" t="s">
        <v>104</v>
      </c>
      <c r="F98" s="121">
        <f t="shared" si="16"/>
        <v>97</v>
      </c>
      <c r="G98" s="118" t="s">
        <v>44</v>
      </c>
      <c r="H98" s="118"/>
      <c r="I98" s="151" t="s">
        <v>105</v>
      </c>
      <c r="J98" s="117"/>
      <c r="K98" s="173">
        <v>2</v>
      </c>
      <c r="L98" s="131" t="s">
        <v>81</v>
      </c>
      <c r="M98" s="174">
        <f>K98</f>
        <v>2</v>
      </c>
      <c r="N98" s="117" t="s">
        <v>81</v>
      </c>
      <c r="O98" s="133">
        <v>1</v>
      </c>
      <c r="P98" s="117"/>
      <c r="Q98" s="163">
        <f t="shared" si="19"/>
        <v>2</v>
      </c>
      <c r="R98" s="161">
        <v>1</v>
      </c>
      <c r="S98" s="163">
        <f t="shared" si="20"/>
        <v>3</v>
      </c>
      <c r="T98" s="167" t="s">
        <v>48</v>
      </c>
    </row>
    <row r="99" spans="2:20" ht="20.25" customHeight="1">
      <c r="C99" s="109"/>
      <c r="D99" s="115">
        <f t="shared" si="15"/>
        <v>99</v>
      </c>
      <c r="E99" s="119" t="s">
        <v>109</v>
      </c>
      <c r="F99" s="121">
        <f t="shared" si="16"/>
        <v>98</v>
      </c>
      <c r="G99" s="118" t="s">
        <v>44</v>
      </c>
      <c r="H99" s="118"/>
      <c r="I99" s="117"/>
      <c r="J99" s="117"/>
      <c r="K99" s="173">
        <f>K98+K97</f>
        <v>4</v>
      </c>
      <c r="L99" s="131" t="s">
        <v>81</v>
      </c>
      <c r="M99" s="174">
        <f>K99</f>
        <v>4</v>
      </c>
      <c r="N99" s="117" t="s">
        <v>81</v>
      </c>
      <c r="O99" s="133">
        <v>0.5</v>
      </c>
      <c r="P99" s="117"/>
      <c r="Q99" s="163">
        <f t="shared" si="19"/>
        <v>2</v>
      </c>
      <c r="R99" s="161">
        <v>1</v>
      </c>
      <c r="S99" s="163">
        <f t="shared" si="20"/>
        <v>3</v>
      </c>
      <c r="T99" s="167" t="s">
        <v>48</v>
      </c>
    </row>
    <row r="100" spans="2:20" ht="20.25" customHeight="1">
      <c r="B100" s="124"/>
      <c r="C100" s="109">
        <f>D100</f>
        <v>100</v>
      </c>
      <c r="D100" s="115">
        <f t="shared" si="15"/>
        <v>100</v>
      </c>
      <c r="E100" s="126" t="s">
        <v>126</v>
      </c>
      <c r="F100" s="125">
        <f>D96</f>
        <v>96</v>
      </c>
      <c r="G100" s="118"/>
      <c r="H100" s="118"/>
      <c r="I100" s="117"/>
      <c r="J100" s="117"/>
      <c r="K100" s="131"/>
      <c r="L100" s="131"/>
      <c r="M100" s="132"/>
      <c r="N100" s="117"/>
      <c r="O100" s="133"/>
      <c r="P100" s="117"/>
      <c r="Q100" s="163"/>
      <c r="R100" s="161"/>
      <c r="S100" s="163"/>
      <c r="T100" s="162"/>
    </row>
    <row r="101" spans="2:20" ht="20.25" customHeight="1">
      <c r="C101" s="109"/>
      <c r="D101" s="115">
        <f t="shared" si="15"/>
        <v>101</v>
      </c>
      <c r="E101" s="119" t="s">
        <v>125</v>
      </c>
      <c r="F101" s="121">
        <f t="shared" si="16"/>
        <v>100</v>
      </c>
      <c r="G101" s="118" t="s">
        <v>52</v>
      </c>
      <c r="H101" s="118"/>
      <c r="I101" s="133" t="str">
        <f>I97</f>
        <v>26" nb</v>
      </c>
      <c r="J101" s="117"/>
      <c r="K101" s="133">
        <f>K97</f>
        <v>2</v>
      </c>
      <c r="L101" s="131" t="s">
        <v>81</v>
      </c>
      <c r="M101" s="174">
        <f>K101</f>
        <v>2</v>
      </c>
      <c r="N101" s="117" t="s">
        <v>81</v>
      </c>
      <c r="O101" s="133">
        <v>0</v>
      </c>
      <c r="P101" s="117"/>
      <c r="Q101" s="163">
        <f t="shared" si="17"/>
        <v>0</v>
      </c>
      <c r="R101" s="161">
        <v>0</v>
      </c>
      <c r="S101" s="163">
        <f t="shared" si="18"/>
        <v>0</v>
      </c>
      <c r="T101" s="167" t="s">
        <v>48</v>
      </c>
    </row>
    <row r="102" spans="2:20" ht="20.25" customHeight="1">
      <c r="C102" s="109"/>
      <c r="D102" s="115">
        <f t="shared" si="15"/>
        <v>102</v>
      </c>
      <c r="E102" s="119" t="s">
        <v>104</v>
      </c>
      <c r="F102" s="121">
        <f t="shared" si="16"/>
        <v>101</v>
      </c>
      <c r="G102" s="118" t="s">
        <v>52</v>
      </c>
      <c r="H102" s="118"/>
      <c r="I102" s="133" t="str">
        <f>I98</f>
        <v>2"nb</v>
      </c>
      <c r="J102" s="117"/>
      <c r="K102" s="133">
        <f>K98</f>
        <v>2</v>
      </c>
      <c r="L102" s="131" t="s">
        <v>81</v>
      </c>
      <c r="M102" s="174">
        <f>K102</f>
        <v>2</v>
      </c>
      <c r="N102" s="117" t="s">
        <v>81</v>
      </c>
      <c r="O102" s="133">
        <v>0</v>
      </c>
      <c r="P102" s="117"/>
      <c r="Q102" s="163">
        <f t="shared" si="17"/>
        <v>0</v>
      </c>
      <c r="R102" s="161">
        <v>0</v>
      </c>
      <c r="S102" s="163">
        <f t="shared" si="18"/>
        <v>0</v>
      </c>
      <c r="T102" s="167" t="s">
        <v>48</v>
      </c>
    </row>
    <row r="103" spans="2:20" ht="20.25" customHeight="1">
      <c r="C103" s="109"/>
      <c r="D103" s="115">
        <f t="shared" si="15"/>
        <v>103</v>
      </c>
      <c r="E103" s="119" t="s">
        <v>109</v>
      </c>
      <c r="F103" s="121">
        <f t="shared" si="16"/>
        <v>102</v>
      </c>
      <c r="G103" s="118" t="s">
        <v>52</v>
      </c>
      <c r="H103" s="118"/>
      <c r="I103" s="117"/>
      <c r="J103" s="117"/>
      <c r="K103" s="133">
        <f>K102+K101</f>
        <v>4</v>
      </c>
      <c r="L103" s="131" t="s">
        <v>81</v>
      </c>
      <c r="M103" s="174">
        <f>K103</f>
        <v>4</v>
      </c>
      <c r="N103" s="117" t="s">
        <v>81</v>
      </c>
      <c r="O103" s="133">
        <v>0</v>
      </c>
      <c r="P103" s="117"/>
      <c r="Q103" s="163">
        <f t="shared" si="17"/>
        <v>0</v>
      </c>
      <c r="R103" s="161">
        <v>0</v>
      </c>
      <c r="S103" s="163">
        <f t="shared" si="18"/>
        <v>0</v>
      </c>
      <c r="T103" s="167" t="s">
        <v>48</v>
      </c>
    </row>
    <row r="104" spans="2:20" ht="20.25" customHeight="1">
      <c r="B104" s="124"/>
      <c r="C104" s="109">
        <f>D104</f>
        <v>104</v>
      </c>
      <c r="D104" s="115">
        <f t="shared" si="15"/>
        <v>104</v>
      </c>
      <c r="E104" s="126" t="s">
        <v>127</v>
      </c>
      <c r="F104" s="121">
        <f>D100</f>
        <v>100</v>
      </c>
      <c r="G104" s="118"/>
      <c r="H104" s="118"/>
      <c r="I104" s="117"/>
      <c r="J104" s="117"/>
      <c r="K104" s="131"/>
      <c r="L104" s="131"/>
      <c r="M104" s="132"/>
      <c r="N104" s="117"/>
      <c r="O104" s="133"/>
      <c r="P104" s="117"/>
      <c r="Q104" s="163"/>
      <c r="R104" s="161"/>
      <c r="S104" s="163"/>
      <c r="T104" s="162"/>
    </row>
    <row r="105" spans="2:20" ht="20.25" customHeight="1">
      <c r="C105" s="109"/>
      <c r="D105" s="115">
        <f t="shared" si="15"/>
        <v>105</v>
      </c>
      <c r="E105" s="119" t="s">
        <v>125</v>
      </c>
      <c r="F105" s="121">
        <f t="shared" si="16"/>
        <v>104</v>
      </c>
      <c r="G105" s="118" t="s">
        <v>121</v>
      </c>
      <c r="H105" s="118"/>
      <c r="I105" s="133" t="str">
        <f>I97</f>
        <v>26" nb</v>
      </c>
      <c r="J105" s="117"/>
      <c r="K105" s="131">
        <f>K97</f>
        <v>2</v>
      </c>
      <c r="L105" s="131" t="s">
        <v>81</v>
      </c>
      <c r="M105" s="174">
        <v>2</v>
      </c>
      <c r="N105" s="117" t="s">
        <v>81</v>
      </c>
      <c r="O105" s="133">
        <v>4</v>
      </c>
      <c r="P105" s="117"/>
      <c r="Q105" s="163">
        <f t="shared" si="17"/>
        <v>8</v>
      </c>
      <c r="R105" s="161">
        <v>0</v>
      </c>
      <c r="S105" s="163">
        <f t="shared" si="18"/>
        <v>8</v>
      </c>
      <c r="T105" s="167" t="s">
        <v>48</v>
      </c>
    </row>
    <row r="106" spans="2:20" ht="20.25" customHeight="1">
      <c r="C106" s="109"/>
      <c r="D106" s="115">
        <f t="shared" si="15"/>
        <v>106</v>
      </c>
      <c r="E106" s="119" t="s">
        <v>104</v>
      </c>
      <c r="F106" s="121">
        <f t="shared" si="16"/>
        <v>105</v>
      </c>
      <c r="G106" s="118" t="s">
        <v>121</v>
      </c>
      <c r="H106" s="118"/>
      <c r="I106" s="133" t="str">
        <f>I98</f>
        <v>2"nb</v>
      </c>
      <c r="J106" s="117"/>
      <c r="K106" s="131">
        <f>K98</f>
        <v>2</v>
      </c>
      <c r="L106" s="131" t="s">
        <v>81</v>
      </c>
      <c r="M106" s="174">
        <v>2</v>
      </c>
      <c r="N106" s="117" t="s">
        <v>81</v>
      </c>
      <c r="O106" s="133">
        <v>0</v>
      </c>
      <c r="P106" s="117"/>
      <c r="Q106" s="163">
        <f t="shared" si="17"/>
        <v>0</v>
      </c>
      <c r="R106" s="161">
        <v>0</v>
      </c>
      <c r="S106" s="163">
        <f t="shared" si="18"/>
        <v>0</v>
      </c>
      <c r="T106" s="167" t="s">
        <v>48</v>
      </c>
    </row>
    <row r="107" spans="2:20" ht="20.25" customHeight="1">
      <c r="C107" s="109"/>
      <c r="D107" s="115">
        <f t="shared" si="15"/>
        <v>107</v>
      </c>
      <c r="E107" s="119" t="s">
        <v>109</v>
      </c>
      <c r="F107" s="121">
        <f t="shared" si="16"/>
        <v>106</v>
      </c>
      <c r="G107" s="118" t="s">
        <v>121</v>
      </c>
      <c r="H107" s="118"/>
      <c r="I107" s="117"/>
      <c r="J107" s="117"/>
      <c r="K107" s="154">
        <f>K106+K105</f>
        <v>4</v>
      </c>
      <c r="L107" s="131" t="s">
        <v>81</v>
      </c>
      <c r="M107" s="174">
        <v>4</v>
      </c>
      <c r="N107" s="117" t="s">
        <v>81</v>
      </c>
      <c r="O107" s="133">
        <v>0</v>
      </c>
      <c r="P107" s="117"/>
      <c r="Q107" s="163">
        <f t="shared" si="17"/>
        <v>0</v>
      </c>
      <c r="R107" s="161">
        <v>0</v>
      </c>
      <c r="S107" s="163">
        <f t="shared" si="18"/>
        <v>0</v>
      </c>
      <c r="T107" s="167" t="s">
        <v>48</v>
      </c>
    </row>
    <row r="108" spans="2:20" ht="20.25" customHeight="1">
      <c r="B108" s="124"/>
      <c r="C108" s="109">
        <f>D108</f>
        <v>108</v>
      </c>
      <c r="D108" s="115">
        <f t="shared" si="15"/>
        <v>108</v>
      </c>
      <c r="E108" s="126" t="s">
        <v>128</v>
      </c>
      <c r="F108" s="121">
        <f>D104</f>
        <v>104</v>
      </c>
      <c r="G108" s="118"/>
      <c r="H108" s="118"/>
      <c r="I108" s="117"/>
      <c r="J108" s="117"/>
      <c r="K108" s="131"/>
      <c r="L108" s="131"/>
      <c r="M108" s="132"/>
      <c r="N108" s="117"/>
      <c r="O108" s="133"/>
      <c r="P108" s="117"/>
      <c r="Q108" s="163"/>
      <c r="R108" s="161"/>
      <c r="S108" s="163"/>
      <c r="T108" s="162"/>
    </row>
    <row r="109" spans="2:20" ht="20.25" customHeight="1">
      <c r="C109" s="109"/>
      <c r="D109" s="115">
        <f t="shared" si="15"/>
        <v>109</v>
      </c>
      <c r="E109" s="119" t="s">
        <v>125</v>
      </c>
      <c r="F109" s="121">
        <f t="shared" si="16"/>
        <v>108</v>
      </c>
      <c r="G109" s="118" t="s">
        <v>626</v>
      </c>
      <c r="H109" s="118"/>
      <c r="I109" s="133" t="str">
        <f>I97</f>
        <v>26" nb</v>
      </c>
      <c r="J109" s="117"/>
      <c r="K109" s="131">
        <v>2</v>
      </c>
      <c r="L109" s="131" t="s">
        <v>50</v>
      </c>
      <c r="M109" s="174">
        <v>2</v>
      </c>
      <c r="N109" s="117" t="s">
        <v>50</v>
      </c>
      <c r="O109" s="133">
        <v>4</v>
      </c>
      <c r="P109" s="117" t="s">
        <v>112</v>
      </c>
      <c r="Q109" s="163">
        <f t="shared" si="17"/>
        <v>8</v>
      </c>
      <c r="R109" s="161">
        <v>1</v>
      </c>
      <c r="S109" s="163">
        <f t="shared" si="18"/>
        <v>9</v>
      </c>
      <c r="T109" s="167" t="s">
        <v>48</v>
      </c>
    </row>
    <row r="110" spans="2:20" ht="20.25" customHeight="1">
      <c r="C110" s="109"/>
      <c r="D110" s="115">
        <f t="shared" si="15"/>
        <v>110</v>
      </c>
      <c r="E110" s="119" t="s">
        <v>104</v>
      </c>
      <c r="F110" s="121">
        <f t="shared" si="16"/>
        <v>109</v>
      </c>
      <c r="G110" s="118" t="s">
        <v>626</v>
      </c>
      <c r="H110" s="118"/>
      <c r="I110" s="133" t="str">
        <f>I98</f>
        <v>2"nb</v>
      </c>
      <c r="J110" s="117"/>
      <c r="K110" s="131">
        <v>2</v>
      </c>
      <c r="L110" s="131" t="s">
        <v>50</v>
      </c>
      <c r="M110" s="174">
        <v>2</v>
      </c>
      <c r="N110" s="117" t="s">
        <v>50</v>
      </c>
      <c r="O110" s="133">
        <v>0</v>
      </c>
      <c r="P110" s="117" t="s">
        <v>112</v>
      </c>
      <c r="Q110" s="163">
        <f t="shared" si="17"/>
        <v>0</v>
      </c>
      <c r="R110" s="161">
        <v>1</v>
      </c>
      <c r="S110" s="163">
        <f t="shared" si="18"/>
        <v>1</v>
      </c>
      <c r="T110" s="167" t="s">
        <v>48</v>
      </c>
    </row>
    <row r="111" spans="2:20" ht="20.25" customHeight="1">
      <c r="C111" s="109"/>
      <c r="D111" s="115">
        <f t="shared" si="15"/>
        <v>111</v>
      </c>
      <c r="E111" s="119" t="s">
        <v>109</v>
      </c>
      <c r="F111" s="121">
        <f t="shared" si="16"/>
        <v>110</v>
      </c>
      <c r="G111" s="118" t="s">
        <v>626</v>
      </c>
      <c r="H111" s="118"/>
      <c r="I111" s="117"/>
      <c r="J111" s="117"/>
      <c r="K111" s="131">
        <v>4</v>
      </c>
      <c r="L111" s="131" t="s">
        <v>50</v>
      </c>
      <c r="M111" s="174">
        <v>4</v>
      </c>
      <c r="N111" s="117" t="s">
        <v>50</v>
      </c>
      <c r="O111" s="133">
        <v>0.25</v>
      </c>
      <c r="P111" s="117" t="s">
        <v>112</v>
      </c>
      <c r="Q111" s="163">
        <f t="shared" si="17"/>
        <v>1</v>
      </c>
      <c r="R111" s="161">
        <v>1</v>
      </c>
      <c r="S111" s="163">
        <f t="shared" si="18"/>
        <v>2</v>
      </c>
      <c r="T111" s="167" t="s">
        <v>48</v>
      </c>
    </row>
    <row r="112" spans="2:20" ht="20.25" customHeight="1">
      <c r="B112" s="124"/>
      <c r="C112" s="109">
        <f>D112</f>
        <v>112</v>
      </c>
      <c r="D112" s="115">
        <f t="shared" si="15"/>
        <v>112</v>
      </c>
      <c r="E112" s="126" t="s">
        <v>129</v>
      </c>
      <c r="F112" s="121">
        <f>D108</f>
        <v>108</v>
      </c>
      <c r="G112" s="118"/>
      <c r="H112" s="118"/>
      <c r="I112" s="117"/>
      <c r="J112" s="117"/>
      <c r="K112" s="131"/>
      <c r="L112" s="131"/>
      <c r="M112" s="132"/>
      <c r="N112" s="117"/>
      <c r="O112" s="133"/>
      <c r="P112" s="117"/>
      <c r="Q112" s="163"/>
      <c r="R112" s="161"/>
      <c r="S112" s="163"/>
      <c r="T112" s="162"/>
    </row>
    <row r="113" spans="2:20" ht="20.25" customHeight="1">
      <c r="C113" s="109"/>
      <c r="D113" s="115">
        <f t="shared" si="15"/>
        <v>113</v>
      </c>
      <c r="E113" s="119" t="s">
        <v>125</v>
      </c>
      <c r="F113" s="121">
        <f t="shared" si="16"/>
        <v>112</v>
      </c>
      <c r="G113" s="118" t="s">
        <v>115</v>
      </c>
      <c r="H113" s="118"/>
      <c r="I113" s="151" t="s">
        <v>116</v>
      </c>
      <c r="J113" s="151" t="s">
        <v>117</v>
      </c>
      <c r="K113" s="131">
        <v>2</v>
      </c>
      <c r="L113" s="131" t="s">
        <v>50</v>
      </c>
      <c r="M113" s="141">
        <f>LEFT(J113,SEARCH(" ",J113,1)-1)*K113*0.001</f>
        <v>6.1080000000000005</v>
      </c>
      <c r="N113" s="117" t="s">
        <v>50</v>
      </c>
      <c r="O113" s="175">
        <f>6.12</f>
        <v>6.12</v>
      </c>
      <c r="P113" s="117" t="s">
        <v>112</v>
      </c>
      <c r="Q113" s="163">
        <f>M113*O113</f>
        <v>37.380960000000002</v>
      </c>
      <c r="R113" s="161">
        <v>1</v>
      </c>
      <c r="S113" s="163">
        <f t="shared" si="18"/>
        <v>38.380960000000002</v>
      </c>
      <c r="T113" s="167" t="s">
        <v>48</v>
      </c>
    </row>
    <row r="114" spans="2:20" ht="20.25" customHeight="1">
      <c r="C114" s="109"/>
      <c r="D114" s="115">
        <f t="shared" si="15"/>
        <v>114</v>
      </c>
      <c r="E114" s="119" t="s">
        <v>104</v>
      </c>
      <c r="F114" s="121">
        <f t="shared" si="16"/>
        <v>113</v>
      </c>
      <c r="G114" s="118" t="s">
        <v>115</v>
      </c>
      <c r="H114" s="118"/>
      <c r="I114" s="173" t="str">
        <f>I102</f>
        <v>2"nb</v>
      </c>
      <c r="J114" s="117"/>
      <c r="K114" s="131">
        <v>2</v>
      </c>
      <c r="L114" s="131" t="s">
        <v>50</v>
      </c>
      <c r="M114" s="174">
        <v>0</v>
      </c>
      <c r="N114" s="117" t="s">
        <v>50</v>
      </c>
      <c r="O114" s="175"/>
      <c r="P114" s="117" t="s">
        <v>112</v>
      </c>
      <c r="Q114" s="163">
        <f t="shared" ref="Q114:Q115" si="21">M114*O114</f>
        <v>0</v>
      </c>
      <c r="R114" s="161"/>
      <c r="S114" s="163">
        <f t="shared" si="18"/>
        <v>0</v>
      </c>
      <c r="T114" s="167" t="s">
        <v>48</v>
      </c>
    </row>
    <row r="115" spans="2:20" ht="20.25" customHeight="1">
      <c r="C115" s="109"/>
      <c r="D115" s="115">
        <f t="shared" si="15"/>
        <v>115</v>
      </c>
      <c r="E115" s="119" t="s">
        <v>109</v>
      </c>
      <c r="F115" s="121">
        <f t="shared" si="16"/>
        <v>114</v>
      </c>
      <c r="G115" s="118" t="s">
        <v>115</v>
      </c>
      <c r="H115" s="118"/>
      <c r="I115" s="117"/>
      <c r="J115" s="117"/>
      <c r="K115" s="131">
        <v>4</v>
      </c>
      <c r="L115" s="131" t="s">
        <v>50</v>
      </c>
      <c r="M115" s="174">
        <v>4</v>
      </c>
      <c r="N115" s="117" t="s">
        <v>50</v>
      </c>
      <c r="O115" s="133">
        <v>0.25</v>
      </c>
      <c r="P115" s="117" t="s">
        <v>112</v>
      </c>
      <c r="Q115" s="163">
        <f t="shared" si="21"/>
        <v>1</v>
      </c>
      <c r="R115" s="161">
        <v>1</v>
      </c>
      <c r="S115" s="163">
        <f t="shared" si="18"/>
        <v>2</v>
      </c>
      <c r="T115" s="167" t="s">
        <v>48</v>
      </c>
    </row>
    <row r="116" spans="2:20" ht="20.25" customHeight="1">
      <c r="B116" s="124"/>
      <c r="C116" s="109">
        <f>D116</f>
        <v>116</v>
      </c>
      <c r="D116" s="115">
        <f t="shared" si="15"/>
        <v>116</v>
      </c>
      <c r="E116" s="126" t="s">
        <v>130</v>
      </c>
      <c r="F116" s="121">
        <f>D112</f>
        <v>112</v>
      </c>
      <c r="G116" s="118"/>
      <c r="H116" s="118"/>
      <c r="I116" s="117"/>
      <c r="J116" s="117"/>
      <c r="K116" s="131"/>
      <c r="L116" s="131"/>
      <c r="M116" s="132"/>
      <c r="N116" s="117"/>
      <c r="O116" s="133"/>
      <c r="P116" s="117"/>
      <c r="Q116" s="163"/>
      <c r="R116" s="161"/>
      <c r="S116" s="163"/>
      <c r="T116" s="162"/>
    </row>
    <row r="117" spans="2:20" ht="20.25" customHeight="1">
      <c r="C117" s="109"/>
      <c r="D117" s="115">
        <f t="shared" si="15"/>
        <v>117</v>
      </c>
      <c r="E117" s="119" t="s">
        <v>125</v>
      </c>
      <c r="F117" s="121">
        <f t="shared" si="16"/>
        <v>116</v>
      </c>
      <c r="G117" s="118" t="s">
        <v>44</v>
      </c>
      <c r="H117" s="118"/>
      <c r="I117" s="133" t="str">
        <f>I105</f>
        <v>26" nb</v>
      </c>
      <c r="J117" s="117"/>
      <c r="K117" s="131">
        <v>2</v>
      </c>
      <c r="L117" s="131" t="s">
        <v>50</v>
      </c>
      <c r="M117" s="132">
        <v>1</v>
      </c>
      <c r="N117" s="117" t="s">
        <v>50</v>
      </c>
      <c r="O117" s="175">
        <v>4</v>
      </c>
      <c r="P117" s="117" t="s">
        <v>112</v>
      </c>
      <c r="Q117" s="163">
        <f t="shared" si="17"/>
        <v>4</v>
      </c>
      <c r="R117" s="161">
        <v>1</v>
      </c>
      <c r="S117" s="163">
        <f t="shared" si="18"/>
        <v>5</v>
      </c>
      <c r="T117" s="167" t="s">
        <v>48</v>
      </c>
    </row>
    <row r="118" spans="2:20" ht="20.25" customHeight="1">
      <c r="C118" s="109"/>
      <c r="D118" s="115">
        <f t="shared" si="15"/>
        <v>118</v>
      </c>
      <c r="E118" s="119" t="s">
        <v>104</v>
      </c>
      <c r="F118" s="121">
        <f t="shared" si="16"/>
        <v>117</v>
      </c>
      <c r="G118" s="118" t="s">
        <v>44</v>
      </c>
      <c r="H118" s="118"/>
      <c r="I118" s="133" t="str">
        <f>I106</f>
        <v>2"nb</v>
      </c>
      <c r="J118" s="117"/>
      <c r="K118" s="131">
        <v>2</v>
      </c>
      <c r="L118" s="131" t="s">
        <v>50</v>
      </c>
      <c r="M118" s="132">
        <v>1</v>
      </c>
      <c r="N118" s="117" t="s">
        <v>50</v>
      </c>
      <c r="O118" s="175">
        <v>1</v>
      </c>
      <c r="P118" s="117" t="s">
        <v>112</v>
      </c>
      <c r="Q118" s="163">
        <f t="shared" si="17"/>
        <v>1</v>
      </c>
      <c r="R118" s="161">
        <v>1</v>
      </c>
      <c r="S118" s="163">
        <f t="shared" si="18"/>
        <v>2</v>
      </c>
      <c r="T118" s="167" t="s">
        <v>48</v>
      </c>
    </row>
    <row r="119" spans="2:20" ht="20.25" customHeight="1">
      <c r="C119" s="109"/>
      <c r="D119" s="115">
        <f t="shared" si="15"/>
        <v>119</v>
      </c>
      <c r="E119" s="119" t="s">
        <v>109</v>
      </c>
      <c r="F119" s="121">
        <f t="shared" si="16"/>
        <v>118</v>
      </c>
      <c r="G119" s="118" t="s">
        <v>44</v>
      </c>
      <c r="H119" s="118"/>
      <c r="I119" s="117"/>
      <c r="J119" s="117"/>
      <c r="K119" s="131">
        <v>4</v>
      </c>
      <c r="L119" s="131" t="s">
        <v>50</v>
      </c>
      <c r="M119" s="132">
        <v>1</v>
      </c>
      <c r="N119" s="117" t="s">
        <v>50</v>
      </c>
      <c r="O119" s="133">
        <v>1</v>
      </c>
      <c r="P119" s="117" t="s">
        <v>112</v>
      </c>
      <c r="Q119" s="163">
        <f t="shared" si="17"/>
        <v>1</v>
      </c>
      <c r="R119" s="161">
        <v>1</v>
      </c>
      <c r="S119" s="163">
        <f t="shared" si="18"/>
        <v>2</v>
      </c>
      <c r="T119" s="167" t="s">
        <v>48</v>
      </c>
    </row>
    <row r="120" spans="2:20" ht="20.25" customHeight="1">
      <c r="B120" s="124"/>
      <c r="C120" s="109">
        <f>D120</f>
        <v>120</v>
      </c>
      <c r="D120" s="115">
        <f t="shared" si="15"/>
        <v>120</v>
      </c>
      <c r="E120" s="126" t="s">
        <v>746</v>
      </c>
      <c r="F120" s="121">
        <f>D116</f>
        <v>116</v>
      </c>
      <c r="G120" s="118"/>
      <c r="H120" s="118"/>
      <c r="I120" s="117"/>
      <c r="J120" s="117"/>
      <c r="K120" s="131"/>
      <c r="L120" s="131"/>
      <c r="M120" s="132"/>
      <c r="N120" s="117"/>
      <c r="O120" s="133"/>
      <c r="P120" s="117"/>
      <c r="Q120" s="163"/>
      <c r="R120" s="161"/>
      <c r="S120" s="163"/>
      <c r="T120" s="162"/>
    </row>
    <row r="121" spans="2:20" ht="20.25" customHeight="1">
      <c r="C121" s="109"/>
      <c r="D121" s="115">
        <f t="shared" si="15"/>
        <v>121</v>
      </c>
      <c r="E121" s="119" t="s">
        <v>125</v>
      </c>
      <c r="F121" s="121">
        <f t="shared" si="16"/>
        <v>120</v>
      </c>
      <c r="G121" s="118" t="s">
        <v>44</v>
      </c>
      <c r="H121" s="118"/>
      <c r="I121" s="133" t="str">
        <f>I109</f>
        <v>26" nb</v>
      </c>
      <c r="J121" s="117"/>
      <c r="K121" s="131">
        <v>2</v>
      </c>
      <c r="L121" s="131" t="s">
        <v>50</v>
      </c>
      <c r="M121" s="132">
        <v>0</v>
      </c>
      <c r="N121" s="117" t="s">
        <v>50</v>
      </c>
      <c r="O121" s="175"/>
      <c r="P121" s="117" t="s">
        <v>112</v>
      </c>
      <c r="Q121" s="163">
        <f t="shared" ref="Q121:Q123" si="22">M121*O121</f>
        <v>0</v>
      </c>
      <c r="R121" s="161">
        <v>1</v>
      </c>
      <c r="S121" s="163">
        <f t="shared" ref="S121:S123" si="23">Q121+R121</f>
        <v>1</v>
      </c>
      <c r="T121" s="167" t="s">
        <v>48</v>
      </c>
    </row>
    <row r="122" spans="2:20" ht="20.25" customHeight="1">
      <c r="C122" s="109"/>
      <c r="D122" s="115">
        <f t="shared" si="15"/>
        <v>122</v>
      </c>
      <c r="E122" s="119" t="s">
        <v>104</v>
      </c>
      <c r="F122" s="121">
        <f t="shared" si="16"/>
        <v>121</v>
      </c>
      <c r="G122" s="118" t="s">
        <v>44</v>
      </c>
      <c r="H122" s="118"/>
      <c r="I122" s="133" t="str">
        <f>I110</f>
        <v>2"nb</v>
      </c>
      <c r="J122" s="117"/>
      <c r="K122" s="131">
        <v>2</v>
      </c>
      <c r="L122" s="131" t="s">
        <v>50</v>
      </c>
      <c r="M122" s="132">
        <v>0</v>
      </c>
      <c r="N122" s="117" t="s">
        <v>50</v>
      </c>
      <c r="O122" s="175"/>
      <c r="P122" s="117" t="s">
        <v>112</v>
      </c>
      <c r="Q122" s="163">
        <f t="shared" si="22"/>
        <v>0</v>
      </c>
      <c r="R122" s="161">
        <v>1</v>
      </c>
      <c r="S122" s="163">
        <f t="shared" si="23"/>
        <v>1</v>
      </c>
      <c r="T122" s="167" t="s">
        <v>48</v>
      </c>
    </row>
    <row r="123" spans="2:20" ht="20.25" customHeight="1">
      <c r="C123" s="109"/>
      <c r="D123" s="115">
        <f t="shared" si="15"/>
        <v>123</v>
      </c>
      <c r="E123" s="119" t="s">
        <v>109</v>
      </c>
      <c r="F123" s="121">
        <f t="shared" si="16"/>
        <v>122</v>
      </c>
      <c r="G123" s="118" t="s">
        <v>44</v>
      </c>
      <c r="H123" s="118"/>
      <c r="I123" s="117"/>
      <c r="J123" s="117"/>
      <c r="K123" s="131">
        <v>4</v>
      </c>
      <c r="L123" s="131" t="s">
        <v>50</v>
      </c>
      <c r="M123" s="132">
        <v>0</v>
      </c>
      <c r="N123" s="117" t="s">
        <v>50</v>
      </c>
      <c r="O123" s="133"/>
      <c r="P123" s="117" t="s">
        <v>112</v>
      </c>
      <c r="Q123" s="163">
        <f t="shared" si="22"/>
        <v>0</v>
      </c>
      <c r="R123" s="161">
        <v>1</v>
      </c>
      <c r="S123" s="163">
        <f t="shared" si="23"/>
        <v>1</v>
      </c>
      <c r="T123" s="167" t="s">
        <v>48</v>
      </c>
    </row>
    <row r="124" spans="2:20" ht="20.25" customHeight="1">
      <c r="B124" s="124"/>
      <c r="C124" s="109">
        <f>D124</f>
        <v>124</v>
      </c>
      <c r="D124" s="115">
        <f t="shared" si="15"/>
        <v>124</v>
      </c>
      <c r="E124" s="126" t="s">
        <v>747</v>
      </c>
      <c r="F124" s="121">
        <f>D120</f>
        <v>120</v>
      </c>
      <c r="G124" s="118"/>
      <c r="H124" s="118"/>
      <c r="I124" s="117"/>
      <c r="J124" s="117"/>
      <c r="K124" s="131"/>
      <c r="L124" s="131"/>
      <c r="M124" s="132"/>
      <c r="N124" s="117"/>
      <c r="O124" s="133"/>
      <c r="P124" s="117"/>
      <c r="Q124" s="163"/>
      <c r="R124" s="161"/>
      <c r="S124" s="163"/>
      <c r="T124" s="162"/>
    </row>
    <row r="125" spans="2:20" ht="20.25" customHeight="1">
      <c r="C125" s="109"/>
      <c r="D125" s="115">
        <f t="shared" si="15"/>
        <v>125</v>
      </c>
      <c r="E125" s="119" t="s">
        <v>125</v>
      </c>
      <c r="F125" s="121">
        <f t="shared" si="16"/>
        <v>124</v>
      </c>
      <c r="G125" s="118" t="s">
        <v>121</v>
      </c>
      <c r="H125" s="118"/>
      <c r="I125" s="145" t="s">
        <v>123</v>
      </c>
      <c r="J125" s="151" t="s">
        <v>117</v>
      </c>
      <c r="K125" s="131">
        <v>2</v>
      </c>
      <c r="L125" s="131" t="s">
        <v>50</v>
      </c>
      <c r="M125" s="141">
        <f>LEFT(J125,SEARCH(" ",J125,1)-1)*K125*0.001</f>
        <v>6.1080000000000005</v>
      </c>
      <c r="N125" s="117" t="s">
        <v>50</v>
      </c>
      <c r="O125" s="175">
        <v>1</v>
      </c>
      <c r="P125" s="117" t="s">
        <v>112</v>
      </c>
      <c r="Q125" s="163">
        <f t="shared" ref="Q125:Q127" si="24">M125*O125</f>
        <v>6.1080000000000005</v>
      </c>
      <c r="R125" s="161">
        <v>1</v>
      </c>
      <c r="S125" s="163">
        <f t="shared" ref="S125:S127" si="25">Q125+R125</f>
        <v>7.1080000000000005</v>
      </c>
      <c r="T125" s="167" t="s">
        <v>48</v>
      </c>
    </row>
    <row r="126" spans="2:20" ht="20.25" customHeight="1">
      <c r="C126" s="109"/>
      <c r="D126" s="115">
        <f t="shared" si="15"/>
        <v>126</v>
      </c>
      <c r="E126" s="119" t="s">
        <v>104</v>
      </c>
      <c r="F126" s="121">
        <f t="shared" si="16"/>
        <v>125</v>
      </c>
      <c r="G126" s="118" t="s">
        <v>121</v>
      </c>
      <c r="H126" s="118"/>
      <c r="I126" s="117">
        <v>18</v>
      </c>
      <c r="J126" s="125" t="s">
        <v>745</v>
      </c>
      <c r="K126" s="131">
        <v>2</v>
      </c>
      <c r="L126" s="131" t="s">
        <v>50</v>
      </c>
      <c r="M126" s="141">
        <f>LEFT(J126,SEARCH(" ",J126,1)-1)*K126*0.001</f>
        <v>0.54400000000000004</v>
      </c>
      <c r="N126" s="117" t="s">
        <v>50</v>
      </c>
      <c r="O126" s="175">
        <v>0.5</v>
      </c>
      <c r="P126" s="117" t="s">
        <v>112</v>
      </c>
      <c r="Q126" s="163">
        <f t="shared" si="24"/>
        <v>0.27200000000000002</v>
      </c>
      <c r="R126" s="161">
        <v>1</v>
      </c>
      <c r="S126" s="163">
        <f t="shared" si="25"/>
        <v>1.272</v>
      </c>
      <c r="T126" s="167" t="s">
        <v>48</v>
      </c>
    </row>
    <row r="127" spans="2:20" ht="20.25" customHeight="1">
      <c r="C127" s="109"/>
      <c r="D127" s="115">
        <f t="shared" si="15"/>
        <v>127</v>
      </c>
      <c r="E127" s="119" t="s">
        <v>109</v>
      </c>
      <c r="F127" s="121">
        <f t="shared" si="16"/>
        <v>126</v>
      </c>
      <c r="G127" s="118" t="s">
        <v>121</v>
      </c>
      <c r="H127" s="118"/>
      <c r="I127" s="117"/>
      <c r="J127" s="117"/>
      <c r="K127" s="131">
        <v>4</v>
      </c>
      <c r="L127" s="131" t="s">
        <v>50</v>
      </c>
      <c r="M127" s="132">
        <v>1</v>
      </c>
      <c r="N127" s="117" t="s">
        <v>50</v>
      </c>
      <c r="O127" s="133">
        <v>1</v>
      </c>
      <c r="P127" s="117" t="s">
        <v>112</v>
      </c>
      <c r="Q127" s="163">
        <f t="shared" si="24"/>
        <v>1</v>
      </c>
      <c r="R127" s="161">
        <v>1</v>
      </c>
      <c r="S127" s="163">
        <f t="shared" si="25"/>
        <v>2</v>
      </c>
      <c r="T127" s="167" t="s">
        <v>48</v>
      </c>
    </row>
    <row r="128" spans="2:20" ht="20.25" customHeight="1">
      <c r="B128" s="124"/>
      <c r="C128" s="109">
        <f t="shared" ref="C128:C129" si="26">D128</f>
        <v>128</v>
      </c>
      <c r="D128" s="115">
        <f t="shared" si="15"/>
        <v>128</v>
      </c>
      <c r="E128" s="116" t="s">
        <v>133</v>
      </c>
      <c r="F128" s="121">
        <f>D124</f>
        <v>124</v>
      </c>
      <c r="G128" s="118"/>
      <c r="H128" s="118"/>
      <c r="I128" s="117"/>
      <c r="J128" s="117"/>
      <c r="K128" s="131"/>
      <c r="L128" s="131"/>
      <c r="M128" s="132"/>
      <c r="N128" s="117"/>
      <c r="O128" s="133"/>
      <c r="P128" s="117"/>
      <c r="Q128" s="163"/>
      <c r="R128" s="161"/>
      <c r="S128" s="163"/>
      <c r="T128" s="162"/>
    </row>
    <row r="129" spans="2:20" ht="20.25" customHeight="1">
      <c r="C129" s="109">
        <f t="shared" si="26"/>
        <v>129</v>
      </c>
      <c r="D129" s="115">
        <f t="shared" si="15"/>
        <v>129</v>
      </c>
      <c r="E129" s="126" t="s">
        <v>134</v>
      </c>
      <c r="F129" s="121">
        <f>D128</f>
        <v>128</v>
      </c>
      <c r="G129" s="118"/>
      <c r="H129" s="118"/>
      <c r="I129" s="117"/>
      <c r="J129" s="117"/>
      <c r="K129" s="131"/>
      <c r="L129" s="131"/>
      <c r="M129" s="132"/>
      <c r="N129" s="117"/>
      <c r="O129" s="133"/>
      <c r="P129" s="117"/>
      <c r="Q129" s="163"/>
      <c r="R129" s="161"/>
      <c r="S129" s="163"/>
      <c r="T129" s="162"/>
    </row>
    <row r="130" spans="2:20" ht="20.25" customHeight="1">
      <c r="C130" s="109"/>
      <c r="D130" s="115">
        <f t="shared" si="15"/>
        <v>130</v>
      </c>
      <c r="E130" s="119" t="s">
        <v>135</v>
      </c>
      <c r="F130" s="121">
        <f t="shared" si="16"/>
        <v>129</v>
      </c>
      <c r="G130" s="118"/>
      <c r="H130" s="118"/>
      <c r="I130" s="117"/>
      <c r="J130" s="117"/>
      <c r="K130" s="131">
        <v>1</v>
      </c>
      <c r="L130" s="154" t="s">
        <v>84</v>
      </c>
      <c r="M130" s="132">
        <v>1</v>
      </c>
      <c r="N130" s="145" t="s">
        <v>84</v>
      </c>
      <c r="O130" s="133">
        <v>4</v>
      </c>
      <c r="P130" s="145" t="s">
        <v>41</v>
      </c>
      <c r="Q130" s="163">
        <f t="shared" ref="Q130" si="27">M130*O130</f>
        <v>4</v>
      </c>
      <c r="R130" s="161">
        <v>0</v>
      </c>
      <c r="S130" s="163">
        <f t="shared" ref="S130" si="28">Q130+R130</f>
        <v>4</v>
      </c>
      <c r="T130" s="165" t="s">
        <v>41</v>
      </c>
    </row>
    <row r="131" spans="2:20" ht="20.25" customHeight="1">
      <c r="C131" s="109"/>
      <c r="D131" s="115">
        <f t="shared" ref="D131:D194" si="29">D130+1</f>
        <v>131</v>
      </c>
      <c r="E131" s="119" t="s">
        <v>136</v>
      </c>
      <c r="F131" s="121">
        <f t="shared" si="16"/>
        <v>130</v>
      </c>
      <c r="G131" s="118" t="s">
        <v>44</v>
      </c>
      <c r="H131" s="118"/>
      <c r="I131" s="145" t="s">
        <v>137</v>
      </c>
      <c r="J131" s="145" t="s">
        <v>138</v>
      </c>
      <c r="K131" s="131">
        <v>1</v>
      </c>
      <c r="L131" s="154" t="s">
        <v>84</v>
      </c>
      <c r="M131" s="141">
        <f>LEFT(J131,SEARCH(" ",J131,1)-1)*K131</f>
        <v>9</v>
      </c>
      <c r="N131" s="117" t="s">
        <v>139</v>
      </c>
      <c r="O131" s="175">
        <v>0.25</v>
      </c>
      <c r="P131" s="117" t="s">
        <v>112</v>
      </c>
      <c r="Q131" s="163">
        <f t="shared" si="17"/>
        <v>2.25</v>
      </c>
      <c r="R131" s="161">
        <v>1</v>
      </c>
      <c r="S131" s="163">
        <f t="shared" si="18"/>
        <v>3.25</v>
      </c>
      <c r="T131" s="165" t="s">
        <v>162</v>
      </c>
    </row>
    <row r="132" spans="2:20" ht="20.25" customHeight="1">
      <c r="C132" s="109"/>
      <c r="D132" s="115">
        <f t="shared" si="29"/>
        <v>132</v>
      </c>
      <c r="E132" s="119" t="s">
        <v>140</v>
      </c>
      <c r="F132" s="121">
        <f t="shared" si="16"/>
        <v>131</v>
      </c>
      <c r="G132" s="118" t="s">
        <v>44</v>
      </c>
      <c r="H132" s="118"/>
      <c r="I132" s="117" t="str">
        <f>I131</f>
        <v>30/25</v>
      </c>
      <c r="J132" s="145" t="s">
        <v>141</v>
      </c>
      <c r="K132" s="177">
        <v>1</v>
      </c>
      <c r="L132" s="154" t="s">
        <v>84</v>
      </c>
      <c r="M132" s="141">
        <f t="shared" ref="M132:M133" si="30">LEFT(J132,SEARCH(" ",J132,1)-1)*K132</f>
        <v>29</v>
      </c>
      <c r="N132" s="117" t="s">
        <v>139</v>
      </c>
      <c r="O132" s="175">
        <v>0.25</v>
      </c>
      <c r="P132" s="117" t="s">
        <v>112</v>
      </c>
      <c r="Q132" s="163">
        <f t="shared" si="17"/>
        <v>7.25</v>
      </c>
      <c r="R132" s="161">
        <v>1</v>
      </c>
      <c r="S132" s="163">
        <f t="shared" si="18"/>
        <v>8.25</v>
      </c>
      <c r="T132" s="165" t="s">
        <v>162</v>
      </c>
    </row>
    <row r="133" spans="2:20" ht="20.25" customHeight="1">
      <c r="C133" s="109"/>
      <c r="D133" s="115">
        <f t="shared" si="29"/>
        <v>133</v>
      </c>
      <c r="E133" s="119" t="s">
        <v>142</v>
      </c>
      <c r="F133" s="121">
        <f t="shared" si="16"/>
        <v>132</v>
      </c>
      <c r="G133" s="118" t="s">
        <v>44</v>
      </c>
      <c r="H133" s="118"/>
      <c r="I133" s="117">
        <v>25</v>
      </c>
      <c r="J133" s="145" t="s">
        <v>143</v>
      </c>
      <c r="K133" s="131">
        <v>1</v>
      </c>
      <c r="L133" s="154" t="s">
        <v>84</v>
      </c>
      <c r="M133" s="141">
        <f t="shared" si="30"/>
        <v>10.5</v>
      </c>
      <c r="N133" s="117" t="s">
        <v>139</v>
      </c>
      <c r="O133" s="175">
        <v>0.25</v>
      </c>
      <c r="P133" s="117" t="s">
        <v>112</v>
      </c>
      <c r="Q133" s="163">
        <f t="shared" si="17"/>
        <v>2.625</v>
      </c>
      <c r="R133" s="161">
        <v>1</v>
      </c>
      <c r="S133" s="163">
        <f t="shared" si="18"/>
        <v>3.625</v>
      </c>
      <c r="T133" s="165" t="s">
        <v>162</v>
      </c>
    </row>
    <row r="134" spans="2:20" ht="20.25" customHeight="1">
      <c r="B134" s="124"/>
      <c r="C134" s="109">
        <f>D134</f>
        <v>134</v>
      </c>
      <c r="D134" s="115">
        <f t="shared" si="29"/>
        <v>134</v>
      </c>
      <c r="E134" s="126" t="s">
        <v>144</v>
      </c>
      <c r="F134" s="121">
        <f>D129</f>
        <v>129</v>
      </c>
      <c r="G134" s="118"/>
      <c r="H134" s="118"/>
      <c r="I134" s="117"/>
      <c r="J134" s="117"/>
      <c r="K134" s="131"/>
      <c r="L134" s="131"/>
      <c r="M134" s="132"/>
      <c r="N134" s="117"/>
      <c r="O134" s="133"/>
      <c r="P134" s="117"/>
      <c r="Q134" s="163"/>
      <c r="R134" s="161"/>
      <c r="S134" s="163"/>
      <c r="T134" s="162"/>
    </row>
    <row r="135" spans="2:20" ht="20.25" customHeight="1">
      <c r="C135" s="109"/>
      <c r="D135" s="115">
        <f t="shared" si="29"/>
        <v>135</v>
      </c>
      <c r="E135" s="119" t="s">
        <v>145</v>
      </c>
      <c r="F135" s="121">
        <f t="shared" si="16"/>
        <v>134</v>
      </c>
      <c r="G135" s="118" t="s">
        <v>52</v>
      </c>
      <c r="H135" s="118"/>
      <c r="I135" s="121" t="str">
        <f t="shared" ref="I135:K137" si="31">I131</f>
        <v>30/25</v>
      </c>
      <c r="J135" s="121" t="str">
        <f>J131</f>
        <v>9 rmt</v>
      </c>
      <c r="K135" s="177">
        <f t="shared" si="31"/>
        <v>1</v>
      </c>
      <c r="L135" s="131" t="s">
        <v>81</v>
      </c>
      <c r="M135" s="141">
        <f t="shared" ref="M135:M137" si="32">LEFT(J135,SEARCH(" ",J135,1)-1)*K135</f>
        <v>9</v>
      </c>
      <c r="N135" s="117" t="s">
        <v>139</v>
      </c>
      <c r="O135" s="175">
        <v>0.5</v>
      </c>
      <c r="P135" s="117" t="s">
        <v>112</v>
      </c>
      <c r="Q135" s="163">
        <f t="shared" si="17"/>
        <v>4.5</v>
      </c>
      <c r="R135" s="161">
        <v>1</v>
      </c>
      <c r="S135" s="163">
        <f t="shared" si="18"/>
        <v>5.5</v>
      </c>
      <c r="T135" s="162" t="s">
        <v>48</v>
      </c>
    </row>
    <row r="136" spans="2:20" ht="20.25" customHeight="1">
      <c r="C136" s="109"/>
      <c r="D136" s="115">
        <f t="shared" si="29"/>
        <v>136</v>
      </c>
      <c r="E136" s="119" t="s">
        <v>146</v>
      </c>
      <c r="F136" s="121">
        <f t="shared" si="16"/>
        <v>135</v>
      </c>
      <c r="G136" s="118" t="s">
        <v>52</v>
      </c>
      <c r="H136" s="118"/>
      <c r="I136" s="121" t="str">
        <f t="shared" si="31"/>
        <v>30/25</v>
      </c>
      <c r="J136" s="121" t="str">
        <f>J132</f>
        <v>29 rmt</v>
      </c>
      <c r="K136" s="177">
        <f t="shared" si="31"/>
        <v>1</v>
      </c>
      <c r="L136" s="131" t="s">
        <v>81</v>
      </c>
      <c r="M136" s="141">
        <f t="shared" si="32"/>
        <v>29</v>
      </c>
      <c r="N136" s="117" t="s">
        <v>139</v>
      </c>
      <c r="O136" s="175">
        <v>0.5</v>
      </c>
      <c r="P136" s="117" t="s">
        <v>112</v>
      </c>
      <c r="Q136" s="163">
        <f t="shared" si="17"/>
        <v>14.5</v>
      </c>
      <c r="R136" s="161">
        <v>1</v>
      </c>
      <c r="S136" s="163">
        <f t="shared" si="18"/>
        <v>15.5</v>
      </c>
      <c r="T136" s="162" t="s">
        <v>48</v>
      </c>
    </row>
    <row r="137" spans="2:20" ht="20.25" customHeight="1">
      <c r="C137" s="109"/>
      <c r="D137" s="115">
        <f t="shared" si="29"/>
        <v>137</v>
      </c>
      <c r="E137" s="119" t="s">
        <v>147</v>
      </c>
      <c r="F137" s="121">
        <f t="shared" si="16"/>
        <v>136</v>
      </c>
      <c r="G137" s="118" t="s">
        <v>52</v>
      </c>
      <c r="H137" s="118"/>
      <c r="I137" s="121">
        <f t="shared" si="31"/>
        <v>25</v>
      </c>
      <c r="J137" s="121" t="str">
        <f>J133</f>
        <v>10.5 Rmt</v>
      </c>
      <c r="K137" s="177">
        <f t="shared" si="31"/>
        <v>1</v>
      </c>
      <c r="L137" s="131" t="s">
        <v>81</v>
      </c>
      <c r="M137" s="141">
        <f t="shared" si="32"/>
        <v>10.5</v>
      </c>
      <c r="N137" s="117" t="s">
        <v>139</v>
      </c>
      <c r="O137" s="175">
        <f>VLOOKUP(I137,BM!$A$2:$X$104,3,FALSE)</f>
        <v>0.25</v>
      </c>
      <c r="P137" s="117" t="s">
        <v>112</v>
      </c>
      <c r="Q137" s="163">
        <f t="shared" si="17"/>
        <v>2.625</v>
      </c>
      <c r="R137" s="161">
        <v>1</v>
      </c>
      <c r="S137" s="163">
        <f t="shared" si="18"/>
        <v>3.625</v>
      </c>
      <c r="T137" s="162" t="s">
        <v>48</v>
      </c>
    </row>
    <row r="138" spans="2:20" ht="20.25" customHeight="1">
      <c r="C138" s="109"/>
      <c r="D138" s="115">
        <f t="shared" si="29"/>
        <v>138</v>
      </c>
      <c r="E138" s="119" t="s">
        <v>148</v>
      </c>
      <c r="F138" s="121">
        <f t="shared" si="16"/>
        <v>137</v>
      </c>
      <c r="G138" s="118" t="s">
        <v>149</v>
      </c>
      <c r="H138" s="118"/>
      <c r="I138" s="117">
        <v>25</v>
      </c>
      <c r="J138" s="117"/>
      <c r="K138" s="131"/>
      <c r="L138" s="131"/>
      <c r="M138" s="155">
        <f>M135+M136+M137</f>
        <v>48.5</v>
      </c>
      <c r="N138" s="117" t="s">
        <v>139</v>
      </c>
      <c r="O138" s="175">
        <f>VLOOKUP(I138,BM!$A$2:$X$104,4,FALSE)</f>
        <v>0.15</v>
      </c>
      <c r="P138" s="117" t="s">
        <v>112</v>
      </c>
      <c r="Q138" s="163">
        <f t="shared" si="17"/>
        <v>7.2749999999999995</v>
      </c>
      <c r="R138" s="161">
        <v>1</v>
      </c>
      <c r="S138" s="163">
        <f t="shared" si="18"/>
        <v>8.2749999999999986</v>
      </c>
      <c r="T138" s="162" t="s">
        <v>48</v>
      </c>
    </row>
    <row r="139" spans="2:20" ht="20.25" customHeight="1">
      <c r="B139" s="124"/>
      <c r="C139" s="109">
        <f>D139</f>
        <v>139</v>
      </c>
      <c r="D139" s="115">
        <f t="shared" si="29"/>
        <v>139</v>
      </c>
      <c r="E139" s="116" t="s">
        <v>150</v>
      </c>
      <c r="F139" s="121">
        <f>D134</f>
        <v>134</v>
      </c>
      <c r="G139" s="118"/>
      <c r="H139" s="118"/>
      <c r="I139" s="117"/>
      <c r="J139" s="117"/>
      <c r="K139" s="131"/>
      <c r="L139" s="131"/>
      <c r="M139" s="132"/>
      <c r="N139" s="117"/>
      <c r="O139" s="133"/>
      <c r="P139" s="117"/>
      <c r="Q139" s="163"/>
      <c r="R139" s="161"/>
      <c r="S139" s="163"/>
      <c r="T139" s="162"/>
    </row>
    <row r="140" spans="2:20" ht="20.25" customHeight="1">
      <c r="C140" s="109"/>
      <c r="D140" s="115">
        <f t="shared" si="29"/>
        <v>140</v>
      </c>
      <c r="E140" s="119" t="s">
        <v>151</v>
      </c>
      <c r="F140" s="121">
        <f t="shared" si="16"/>
        <v>139</v>
      </c>
      <c r="G140" s="118" t="s">
        <v>748</v>
      </c>
      <c r="H140" s="118"/>
      <c r="I140" s="117"/>
      <c r="J140" s="117"/>
      <c r="K140" s="131">
        <v>1</v>
      </c>
      <c r="L140" s="131" t="s">
        <v>84</v>
      </c>
      <c r="M140" s="132">
        <v>1</v>
      </c>
      <c r="N140" s="117" t="s">
        <v>39</v>
      </c>
      <c r="O140" s="133">
        <v>8</v>
      </c>
      <c r="P140" s="117" t="s">
        <v>112</v>
      </c>
      <c r="Q140" s="163">
        <f t="shared" si="17"/>
        <v>8</v>
      </c>
      <c r="R140" s="161">
        <v>1</v>
      </c>
      <c r="S140" s="163">
        <f t="shared" si="18"/>
        <v>9</v>
      </c>
      <c r="T140" s="162" t="s">
        <v>48</v>
      </c>
    </row>
    <row r="141" spans="2:20" ht="20.25" customHeight="1">
      <c r="C141" s="109"/>
      <c r="D141" s="115">
        <f t="shared" si="29"/>
        <v>141</v>
      </c>
      <c r="E141" s="119" t="s">
        <v>153</v>
      </c>
      <c r="F141" s="121">
        <f t="shared" si="16"/>
        <v>140</v>
      </c>
      <c r="G141" s="118" t="s">
        <v>115</v>
      </c>
      <c r="H141" s="118"/>
      <c r="I141" s="117">
        <v>18</v>
      </c>
      <c r="J141" s="117"/>
      <c r="K141" s="131">
        <v>1</v>
      </c>
      <c r="L141" s="131" t="s">
        <v>84</v>
      </c>
      <c r="M141" s="155">
        <v>4</v>
      </c>
      <c r="N141" s="117" t="s">
        <v>39</v>
      </c>
      <c r="O141" s="143">
        <f>VLOOKUP(I141,BM!$A$2:$X$104,22,FALSE)</f>
        <v>3.4</v>
      </c>
      <c r="P141" s="117" t="s">
        <v>112</v>
      </c>
      <c r="Q141" s="163">
        <f t="shared" si="17"/>
        <v>13.6</v>
      </c>
      <c r="R141" s="161">
        <v>1</v>
      </c>
      <c r="S141" s="163">
        <f t="shared" si="18"/>
        <v>14.6</v>
      </c>
      <c r="T141" s="162" t="s">
        <v>48</v>
      </c>
    </row>
    <row r="142" spans="2:20" ht="20.25" customHeight="1">
      <c r="C142" s="109"/>
      <c r="D142" s="115">
        <f t="shared" si="29"/>
        <v>142</v>
      </c>
      <c r="E142" s="119" t="s">
        <v>154</v>
      </c>
      <c r="F142" s="121">
        <f t="shared" si="16"/>
        <v>141</v>
      </c>
      <c r="G142" s="118" t="s">
        <v>748</v>
      </c>
      <c r="H142" s="118"/>
      <c r="I142" s="117"/>
      <c r="J142" s="117"/>
      <c r="K142" s="131">
        <v>1</v>
      </c>
      <c r="L142" s="131" t="s">
        <v>84</v>
      </c>
      <c r="M142" s="132">
        <v>1</v>
      </c>
      <c r="N142" s="117" t="s">
        <v>39</v>
      </c>
      <c r="O142" s="133">
        <v>8</v>
      </c>
      <c r="P142" s="117" t="s">
        <v>112</v>
      </c>
      <c r="Q142" s="163">
        <f t="shared" si="17"/>
        <v>8</v>
      </c>
      <c r="R142" s="161">
        <v>1</v>
      </c>
      <c r="S142" s="163">
        <f t="shared" si="18"/>
        <v>9</v>
      </c>
      <c r="T142" s="162" t="s">
        <v>48</v>
      </c>
    </row>
    <row r="143" spans="2:20" ht="20.25" customHeight="1">
      <c r="C143" s="109"/>
      <c r="D143" s="115">
        <f t="shared" si="29"/>
        <v>143</v>
      </c>
      <c r="E143" s="119" t="s">
        <v>155</v>
      </c>
      <c r="F143" s="121">
        <f t="shared" si="16"/>
        <v>142</v>
      </c>
      <c r="G143" s="118" t="s">
        <v>156</v>
      </c>
      <c r="H143" s="118"/>
      <c r="I143" s="117">
        <v>18</v>
      </c>
      <c r="J143" s="117"/>
      <c r="K143" s="131">
        <v>1</v>
      </c>
      <c r="L143" s="131" t="s">
        <v>84</v>
      </c>
      <c r="M143" s="155">
        <v>24.8</v>
      </c>
      <c r="N143" s="117" t="s">
        <v>39</v>
      </c>
      <c r="O143" s="143">
        <f>VLOOKUP(I143,BM!$A$2:$X$104,22,FALSE)</f>
        <v>3.4</v>
      </c>
      <c r="P143" s="117" t="s">
        <v>112</v>
      </c>
      <c r="Q143" s="163">
        <f t="shared" si="17"/>
        <v>84.32</v>
      </c>
      <c r="R143" s="161">
        <v>1</v>
      </c>
      <c r="S143" s="163">
        <f t="shared" si="18"/>
        <v>85.32</v>
      </c>
      <c r="T143" s="162" t="s">
        <v>48</v>
      </c>
    </row>
    <row r="144" spans="2:20" ht="20.25" customHeight="1">
      <c r="B144" s="124"/>
      <c r="C144" s="109">
        <f>D144</f>
        <v>144</v>
      </c>
      <c r="D144" s="115">
        <f t="shared" si="29"/>
        <v>144</v>
      </c>
      <c r="E144" s="116" t="s">
        <v>157</v>
      </c>
      <c r="F144" s="121">
        <f>D139</f>
        <v>139</v>
      </c>
      <c r="G144" s="118"/>
      <c r="H144" s="118"/>
      <c r="I144" s="117"/>
      <c r="J144" s="117"/>
      <c r="K144" s="131"/>
      <c r="L144" s="131"/>
      <c r="M144" s="132"/>
      <c r="N144" s="117"/>
      <c r="O144" s="133"/>
      <c r="P144" s="117"/>
      <c r="Q144" s="163"/>
      <c r="R144" s="161"/>
      <c r="S144" s="163"/>
      <c r="T144" s="162"/>
    </row>
    <row r="145" spans="2:20" ht="20.25" customHeight="1">
      <c r="C145" s="109"/>
      <c r="D145" s="115">
        <f t="shared" si="29"/>
        <v>145</v>
      </c>
      <c r="E145" s="119" t="s">
        <v>158</v>
      </c>
      <c r="F145" s="121">
        <f t="shared" si="16"/>
        <v>144</v>
      </c>
      <c r="G145" s="118" t="s">
        <v>159</v>
      </c>
      <c r="H145" s="118"/>
      <c r="I145" s="117"/>
      <c r="J145" s="117"/>
      <c r="K145" s="131">
        <v>1</v>
      </c>
      <c r="L145" s="131" t="s">
        <v>160</v>
      </c>
      <c r="M145" s="132">
        <v>1</v>
      </c>
      <c r="N145" s="117" t="s">
        <v>160</v>
      </c>
      <c r="O145" s="133">
        <v>4</v>
      </c>
      <c r="P145" s="117" t="s">
        <v>41</v>
      </c>
      <c r="Q145" s="163">
        <f t="shared" si="17"/>
        <v>4</v>
      </c>
      <c r="R145" s="161"/>
      <c r="S145" s="163">
        <f t="shared" si="18"/>
        <v>4</v>
      </c>
      <c r="T145" s="162" t="s">
        <v>42</v>
      </c>
    </row>
    <row r="146" spans="2:20" ht="20.25" customHeight="1">
      <c r="C146" s="109"/>
      <c r="D146" s="115">
        <f t="shared" si="29"/>
        <v>146</v>
      </c>
      <c r="E146" s="119" t="s">
        <v>161</v>
      </c>
      <c r="F146" s="121">
        <f t="shared" si="16"/>
        <v>145</v>
      </c>
      <c r="G146" s="118" t="s">
        <v>44</v>
      </c>
      <c r="H146" s="118"/>
      <c r="I146" s="117"/>
      <c r="J146" s="117"/>
      <c r="K146" s="131">
        <v>6</v>
      </c>
      <c r="L146" s="131" t="s">
        <v>81</v>
      </c>
      <c r="M146" s="132">
        <v>6</v>
      </c>
      <c r="N146" s="117" t="s">
        <v>81</v>
      </c>
      <c r="O146" s="133">
        <v>0.5</v>
      </c>
      <c r="P146" s="117" t="s">
        <v>162</v>
      </c>
      <c r="Q146" s="163">
        <f t="shared" si="17"/>
        <v>3</v>
      </c>
      <c r="R146" s="161"/>
      <c r="S146" s="163">
        <f t="shared" si="18"/>
        <v>3</v>
      </c>
      <c r="T146" s="162" t="s">
        <v>48</v>
      </c>
    </row>
    <row r="147" spans="2:20" ht="20.25" customHeight="1">
      <c r="C147" s="109"/>
      <c r="D147" s="115">
        <f t="shared" si="29"/>
        <v>147</v>
      </c>
      <c r="E147" s="119" t="s">
        <v>163</v>
      </c>
      <c r="F147" s="121">
        <f t="shared" si="16"/>
        <v>146</v>
      </c>
      <c r="G147" s="118" t="s">
        <v>44</v>
      </c>
      <c r="H147" s="118"/>
      <c r="I147" s="117">
        <v>16</v>
      </c>
      <c r="J147" s="117"/>
      <c r="K147" s="131">
        <v>4</v>
      </c>
      <c r="L147" s="131" t="s">
        <v>81</v>
      </c>
      <c r="M147" s="155">
        <f>K147</f>
        <v>4</v>
      </c>
      <c r="N147" s="117" t="s">
        <v>81</v>
      </c>
      <c r="O147" s="133">
        <v>0.5</v>
      </c>
      <c r="P147" s="117" t="s">
        <v>162</v>
      </c>
      <c r="Q147" s="163">
        <f t="shared" si="17"/>
        <v>2</v>
      </c>
      <c r="R147" s="161"/>
      <c r="S147" s="163">
        <f t="shared" si="18"/>
        <v>2</v>
      </c>
      <c r="T147" s="162" t="s">
        <v>48</v>
      </c>
    </row>
    <row r="148" spans="2:20" ht="20.25" customHeight="1">
      <c r="C148" s="109"/>
      <c r="D148" s="115">
        <f t="shared" si="29"/>
        <v>148</v>
      </c>
      <c r="E148" s="119" t="s">
        <v>164</v>
      </c>
      <c r="F148" s="121">
        <f t="shared" si="16"/>
        <v>147</v>
      </c>
      <c r="G148" s="118" t="s">
        <v>44</v>
      </c>
      <c r="H148" s="118"/>
      <c r="I148" s="117">
        <v>16</v>
      </c>
      <c r="J148" s="117"/>
      <c r="K148" s="131">
        <v>4</v>
      </c>
      <c r="L148" s="131" t="s">
        <v>81</v>
      </c>
      <c r="M148" s="155">
        <f>K148</f>
        <v>4</v>
      </c>
      <c r="N148" s="117" t="s">
        <v>81</v>
      </c>
      <c r="O148" s="133">
        <v>0.5</v>
      </c>
      <c r="P148" s="117" t="s">
        <v>162</v>
      </c>
      <c r="Q148" s="163">
        <f t="shared" si="17"/>
        <v>2</v>
      </c>
      <c r="R148" s="161"/>
      <c r="S148" s="163">
        <f t="shared" si="18"/>
        <v>2</v>
      </c>
      <c r="T148" s="162" t="s">
        <v>48</v>
      </c>
    </row>
    <row r="149" spans="2:20" ht="20.25" customHeight="1">
      <c r="C149" s="109"/>
      <c r="D149" s="115">
        <f t="shared" si="29"/>
        <v>149</v>
      </c>
      <c r="E149" s="119" t="s">
        <v>165</v>
      </c>
      <c r="F149" s="121">
        <f t="shared" si="16"/>
        <v>148</v>
      </c>
      <c r="G149" s="118" t="s">
        <v>44</v>
      </c>
      <c r="H149" s="118"/>
      <c r="I149" s="117">
        <v>30</v>
      </c>
      <c r="J149" s="117"/>
      <c r="K149" s="131">
        <v>2</v>
      </c>
      <c r="L149" s="131" t="s">
        <v>81</v>
      </c>
      <c r="M149" s="155">
        <f>K149</f>
        <v>2</v>
      </c>
      <c r="N149" s="117" t="s">
        <v>81</v>
      </c>
      <c r="O149" s="133">
        <v>0.5</v>
      </c>
      <c r="P149" s="117" t="s">
        <v>162</v>
      </c>
      <c r="Q149" s="163">
        <f t="shared" si="17"/>
        <v>1</v>
      </c>
      <c r="R149" s="161"/>
      <c r="S149" s="163">
        <f t="shared" si="18"/>
        <v>1</v>
      </c>
      <c r="T149" s="162" t="s">
        <v>48</v>
      </c>
    </row>
    <row r="150" spans="2:20" ht="20.25" customHeight="1">
      <c r="C150" s="109"/>
      <c r="D150" s="115">
        <f t="shared" si="29"/>
        <v>150</v>
      </c>
      <c r="E150" s="119" t="s">
        <v>166</v>
      </c>
      <c r="F150" s="121">
        <f t="shared" si="16"/>
        <v>149</v>
      </c>
      <c r="G150" s="118" t="s">
        <v>52</v>
      </c>
      <c r="H150" s="118"/>
      <c r="I150" s="117"/>
      <c r="J150" s="117"/>
      <c r="K150" s="131">
        <v>6</v>
      </c>
      <c r="L150" s="131" t="s">
        <v>81</v>
      </c>
      <c r="M150" s="155">
        <f>K150</f>
        <v>6</v>
      </c>
      <c r="N150" s="117" t="s">
        <v>81</v>
      </c>
      <c r="O150" s="133">
        <v>0.5</v>
      </c>
      <c r="P150" s="117" t="s">
        <v>162</v>
      </c>
      <c r="Q150" s="163">
        <f t="shared" si="17"/>
        <v>3</v>
      </c>
      <c r="R150" s="161"/>
      <c r="S150" s="163">
        <f t="shared" si="18"/>
        <v>3</v>
      </c>
      <c r="T150" s="162" t="s">
        <v>48</v>
      </c>
    </row>
    <row r="151" spans="2:20" ht="20.25" customHeight="1">
      <c r="C151" s="109"/>
      <c r="D151" s="115">
        <f t="shared" si="29"/>
        <v>151</v>
      </c>
      <c r="E151" s="119" t="s">
        <v>167</v>
      </c>
      <c r="F151" s="121">
        <f t="shared" si="16"/>
        <v>150</v>
      </c>
      <c r="G151" s="118" t="s">
        <v>52</v>
      </c>
      <c r="H151" s="118"/>
      <c r="I151" s="117"/>
      <c r="J151" s="117"/>
      <c r="K151" s="131">
        <v>4</v>
      </c>
      <c r="L151" s="131" t="s">
        <v>81</v>
      </c>
      <c r="M151" s="155">
        <f t="shared" ref="M151:M158" si="33">K151</f>
        <v>4</v>
      </c>
      <c r="N151" s="117" t="s">
        <v>81</v>
      </c>
      <c r="O151" s="133">
        <v>0.5</v>
      </c>
      <c r="P151" s="117" t="s">
        <v>162</v>
      </c>
      <c r="Q151" s="163">
        <f t="shared" si="17"/>
        <v>2</v>
      </c>
      <c r="R151" s="161"/>
      <c r="S151" s="163">
        <f t="shared" si="18"/>
        <v>2</v>
      </c>
      <c r="T151" s="162" t="s">
        <v>48</v>
      </c>
    </row>
    <row r="152" spans="2:20" ht="20.25" customHeight="1">
      <c r="C152" s="109"/>
      <c r="D152" s="115">
        <f t="shared" si="29"/>
        <v>152</v>
      </c>
      <c r="E152" s="119" t="s">
        <v>168</v>
      </c>
      <c r="F152" s="121">
        <f t="shared" si="16"/>
        <v>151</v>
      </c>
      <c r="G152" s="118" t="s">
        <v>44</v>
      </c>
      <c r="H152" s="118"/>
      <c r="I152" s="117"/>
      <c r="J152" s="117"/>
      <c r="K152" s="131">
        <v>6</v>
      </c>
      <c r="L152" s="131" t="s">
        <v>81</v>
      </c>
      <c r="M152" s="155">
        <f t="shared" si="33"/>
        <v>6</v>
      </c>
      <c r="N152" s="117" t="s">
        <v>81</v>
      </c>
      <c r="O152" s="133">
        <v>0.5</v>
      </c>
      <c r="P152" s="117" t="s">
        <v>162</v>
      </c>
      <c r="Q152" s="163">
        <f t="shared" si="17"/>
        <v>3</v>
      </c>
      <c r="R152" s="161"/>
      <c r="S152" s="163">
        <f t="shared" si="18"/>
        <v>3</v>
      </c>
      <c r="T152" s="162" t="s">
        <v>48</v>
      </c>
    </row>
    <row r="153" spans="2:20" ht="20.25" customHeight="1">
      <c r="C153" s="109"/>
      <c r="D153" s="115">
        <f t="shared" si="29"/>
        <v>153</v>
      </c>
      <c r="E153" s="119" t="s">
        <v>169</v>
      </c>
      <c r="F153" s="121">
        <f t="shared" si="16"/>
        <v>152</v>
      </c>
      <c r="G153" s="118" t="s">
        <v>61</v>
      </c>
      <c r="H153" s="118"/>
      <c r="I153" s="117"/>
      <c r="J153" s="117"/>
      <c r="K153" s="131">
        <v>10</v>
      </c>
      <c r="L153" s="131" t="s">
        <v>81</v>
      </c>
      <c r="M153" s="155">
        <f t="shared" si="33"/>
        <v>10</v>
      </c>
      <c r="N153" s="117" t="s">
        <v>81</v>
      </c>
      <c r="O153" s="133">
        <v>0.5</v>
      </c>
      <c r="P153" s="117" t="s">
        <v>162</v>
      </c>
      <c r="Q153" s="163">
        <f t="shared" si="17"/>
        <v>5</v>
      </c>
      <c r="R153" s="161"/>
      <c r="S153" s="163">
        <f t="shared" si="18"/>
        <v>5</v>
      </c>
      <c r="T153" s="162" t="s">
        <v>48</v>
      </c>
    </row>
    <row r="154" spans="2:20" ht="20.25" customHeight="1">
      <c r="C154" s="109"/>
      <c r="D154" s="115">
        <f t="shared" si="29"/>
        <v>154</v>
      </c>
      <c r="E154" s="119" t="s">
        <v>170</v>
      </c>
      <c r="F154" s="121">
        <f t="shared" si="16"/>
        <v>153</v>
      </c>
      <c r="G154" s="118" t="s">
        <v>61</v>
      </c>
      <c r="H154" s="118"/>
      <c r="I154" s="117"/>
      <c r="J154" s="117"/>
      <c r="K154" s="131">
        <v>2</v>
      </c>
      <c r="L154" s="131" t="s">
        <v>81</v>
      </c>
      <c r="M154" s="155">
        <f t="shared" si="33"/>
        <v>2</v>
      </c>
      <c r="N154" s="117" t="s">
        <v>81</v>
      </c>
      <c r="O154" s="133">
        <v>0.5</v>
      </c>
      <c r="P154" s="117" t="s">
        <v>162</v>
      </c>
      <c r="Q154" s="163">
        <f t="shared" si="17"/>
        <v>1</v>
      </c>
      <c r="R154" s="161"/>
      <c r="S154" s="163">
        <f t="shared" si="18"/>
        <v>1</v>
      </c>
      <c r="T154" s="162" t="s">
        <v>48</v>
      </c>
    </row>
    <row r="155" spans="2:20" ht="20.25" customHeight="1">
      <c r="C155" s="109"/>
      <c r="D155" s="115">
        <f t="shared" si="29"/>
        <v>155</v>
      </c>
      <c r="E155" s="119" t="s">
        <v>171</v>
      </c>
      <c r="F155" s="121">
        <f t="shared" si="16"/>
        <v>154</v>
      </c>
      <c r="G155" s="118" t="s">
        <v>172</v>
      </c>
      <c r="H155" s="118"/>
      <c r="I155" s="117"/>
      <c r="J155" s="117"/>
      <c r="K155" s="131">
        <v>2</v>
      </c>
      <c r="L155" s="131" t="s">
        <v>81</v>
      </c>
      <c r="M155" s="155">
        <f t="shared" si="33"/>
        <v>2</v>
      </c>
      <c r="N155" s="117" t="s">
        <v>81</v>
      </c>
      <c r="O155" s="133">
        <v>0.5</v>
      </c>
      <c r="P155" s="117" t="s">
        <v>162</v>
      </c>
      <c r="Q155" s="163">
        <f t="shared" si="17"/>
        <v>1</v>
      </c>
      <c r="R155" s="161"/>
      <c r="S155" s="163">
        <f t="shared" si="18"/>
        <v>1</v>
      </c>
      <c r="T155" s="162" t="s">
        <v>48</v>
      </c>
    </row>
    <row r="156" spans="2:20" ht="20.25" customHeight="1">
      <c r="C156" s="109"/>
      <c r="D156" s="115">
        <f t="shared" si="29"/>
        <v>156</v>
      </c>
      <c r="E156" s="119" t="s">
        <v>173</v>
      </c>
      <c r="F156" s="121">
        <f t="shared" si="16"/>
        <v>155</v>
      </c>
      <c r="G156" s="118" t="s">
        <v>115</v>
      </c>
      <c r="H156" s="118"/>
      <c r="I156" s="117"/>
      <c r="J156" s="117"/>
      <c r="K156" s="131">
        <v>2</v>
      </c>
      <c r="L156" s="131" t="s">
        <v>81</v>
      </c>
      <c r="M156" s="155">
        <f t="shared" si="33"/>
        <v>2</v>
      </c>
      <c r="N156" s="117" t="s">
        <v>81</v>
      </c>
      <c r="O156" s="133">
        <v>0.5</v>
      </c>
      <c r="P156" s="117" t="s">
        <v>162</v>
      </c>
      <c r="Q156" s="163">
        <f t="shared" ref="Q156:Q219" si="34">M156*O156</f>
        <v>1</v>
      </c>
      <c r="R156" s="161"/>
      <c r="S156" s="163">
        <f t="shared" ref="S156:S219" si="35">Q156+R156</f>
        <v>1</v>
      </c>
      <c r="T156" s="162" t="s">
        <v>48</v>
      </c>
    </row>
    <row r="157" spans="2:20" ht="20.25" customHeight="1">
      <c r="C157" s="109"/>
      <c r="D157" s="115">
        <f t="shared" si="29"/>
        <v>157</v>
      </c>
      <c r="E157" s="119" t="s">
        <v>174</v>
      </c>
      <c r="F157" s="121">
        <f t="shared" ref="F157:F220" si="36">D156</f>
        <v>156</v>
      </c>
      <c r="G157" s="118" t="s">
        <v>115</v>
      </c>
      <c r="H157" s="118"/>
      <c r="I157" s="117"/>
      <c r="J157" s="117"/>
      <c r="K157" s="131">
        <v>2</v>
      </c>
      <c r="L157" s="131" t="s">
        <v>81</v>
      </c>
      <c r="M157" s="155">
        <f t="shared" si="33"/>
        <v>2</v>
      </c>
      <c r="N157" s="117" t="s">
        <v>81</v>
      </c>
      <c r="O157" s="133">
        <v>0.5</v>
      </c>
      <c r="P157" s="117" t="s">
        <v>162</v>
      </c>
      <c r="Q157" s="163">
        <f t="shared" si="34"/>
        <v>1</v>
      </c>
      <c r="R157" s="161"/>
      <c r="S157" s="163">
        <f t="shared" si="35"/>
        <v>1</v>
      </c>
      <c r="T157" s="162" t="s">
        <v>48</v>
      </c>
    </row>
    <row r="158" spans="2:20" ht="20.25" customHeight="1">
      <c r="C158" s="109"/>
      <c r="D158" s="115">
        <f t="shared" si="29"/>
        <v>158</v>
      </c>
      <c r="E158" s="119" t="s">
        <v>175</v>
      </c>
      <c r="F158" s="121">
        <f t="shared" si="36"/>
        <v>157</v>
      </c>
      <c r="G158" s="118" t="s">
        <v>44</v>
      </c>
      <c r="H158" s="118"/>
      <c r="I158" s="117"/>
      <c r="J158" s="117"/>
      <c r="K158" s="131">
        <v>4</v>
      </c>
      <c r="L158" s="131" t="s">
        <v>81</v>
      </c>
      <c r="M158" s="155">
        <f t="shared" si="33"/>
        <v>4</v>
      </c>
      <c r="N158" s="117" t="s">
        <v>81</v>
      </c>
      <c r="O158" s="133">
        <v>0.5</v>
      </c>
      <c r="P158" s="117" t="s">
        <v>162</v>
      </c>
      <c r="Q158" s="163">
        <f t="shared" si="34"/>
        <v>2</v>
      </c>
      <c r="R158" s="161"/>
      <c r="S158" s="163">
        <f t="shared" si="35"/>
        <v>2</v>
      </c>
      <c r="T158" s="162" t="s">
        <v>48</v>
      </c>
    </row>
    <row r="159" spans="2:20" ht="20.25" customHeight="1">
      <c r="B159" s="124"/>
      <c r="C159" s="109">
        <f>D159</f>
        <v>159</v>
      </c>
      <c r="D159" s="115">
        <f t="shared" si="29"/>
        <v>159</v>
      </c>
      <c r="E159" s="116" t="s">
        <v>176</v>
      </c>
      <c r="F159" s="121">
        <f>D144</f>
        <v>144</v>
      </c>
      <c r="G159" s="118"/>
      <c r="H159" s="118"/>
      <c r="I159" s="117"/>
      <c r="J159" s="117"/>
      <c r="K159" s="131"/>
      <c r="L159" s="131"/>
      <c r="M159" s="132"/>
      <c r="N159" s="117"/>
      <c r="O159" s="133"/>
      <c r="P159" s="117"/>
      <c r="Q159" s="163"/>
      <c r="R159" s="161"/>
      <c r="S159" s="163"/>
      <c r="T159" s="162"/>
    </row>
    <row r="160" spans="2:20" ht="20.25" customHeight="1">
      <c r="C160" s="109"/>
      <c r="D160" s="115">
        <f t="shared" si="29"/>
        <v>160</v>
      </c>
      <c r="E160" s="119" t="s">
        <v>135</v>
      </c>
      <c r="F160" s="121">
        <f t="shared" si="36"/>
        <v>159</v>
      </c>
      <c r="G160" s="118"/>
      <c r="H160" s="118"/>
      <c r="I160" s="117"/>
      <c r="J160" s="117"/>
      <c r="K160" s="131">
        <v>1</v>
      </c>
      <c r="L160" s="131" t="s">
        <v>160</v>
      </c>
      <c r="M160" s="132">
        <v>1</v>
      </c>
      <c r="N160" s="117" t="s">
        <v>160</v>
      </c>
      <c r="O160" s="133">
        <v>4</v>
      </c>
      <c r="P160" s="117" t="s">
        <v>177</v>
      </c>
      <c r="Q160" s="163">
        <f t="shared" si="34"/>
        <v>4</v>
      </c>
      <c r="R160" s="161"/>
      <c r="S160" s="163">
        <f t="shared" si="35"/>
        <v>4</v>
      </c>
      <c r="T160" s="162" t="s">
        <v>42</v>
      </c>
    </row>
    <row r="161" spans="2:20" ht="20.25" customHeight="1">
      <c r="C161" s="109"/>
      <c r="D161" s="115">
        <f t="shared" si="29"/>
        <v>161</v>
      </c>
      <c r="E161" s="119" t="s">
        <v>178</v>
      </c>
      <c r="F161" s="121">
        <f t="shared" si="36"/>
        <v>160</v>
      </c>
      <c r="G161" s="118" t="s">
        <v>44</v>
      </c>
      <c r="H161" s="118"/>
      <c r="I161" s="117">
        <v>18</v>
      </c>
      <c r="J161" s="117"/>
      <c r="K161" s="131">
        <v>4</v>
      </c>
      <c r="L161" s="131" t="s">
        <v>81</v>
      </c>
      <c r="M161" s="155">
        <f t="shared" ref="M161:M163" si="37">K161</f>
        <v>4</v>
      </c>
      <c r="N161" s="117" t="s">
        <v>81</v>
      </c>
      <c r="O161" s="133">
        <v>0.5</v>
      </c>
      <c r="P161" s="117" t="s">
        <v>162</v>
      </c>
      <c r="Q161" s="163">
        <f t="shared" si="34"/>
        <v>2</v>
      </c>
      <c r="R161" s="161"/>
      <c r="S161" s="163">
        <f t="shared" si="35"/>
        <v>2</v>
      </c>
      <c r="T161" s="162" t="s">
        <v>48</v>
      </c>
    </row>
    <row r="162" spans="2:20" ht="20.25" customHeight="1">
      <c r="C162" s="109"/>
      <c r="D162" s="115">
        <f t="shared" si="29"/>
        <v>162</v>
      </c>
      <c r="E162" s="119" t="s">
        <v>179</v>
      </c>
      <c r="F162" s="121">
        <f t="shared" si="36"/>
        <v>161</v>
      </c>
      <c r="G162" s="118" t="s">
        <v>52</v>
      </c>
      <c r="H162" s="118"/>
      <c r="I162" s="117"/>
      <c r="J162" s="117"/>
      <c r="K162" s="131">
        <v>4</v>
      </c>
      <c r="L162" s="131" t="s">
        <v>81</v>
      </c>
      <c r="M162" s="155">
        <f t="shared" si="37"/>
        <v>4</v>
      </c>
      <c r="N162" s="117" t="s">
        <v>81</v>
      </c>
      <c r="O162" s="133">
        <v>0.5</v>
      </c>
      <c r="P162" s="117" t="s">
        <v>162</v>
      </c>
      <c r="Q162" s="163">
        <f t="shared" si="34"/>
        <v>2</v>
      </c>
      <c r="R162" s="161"/>
      <c r="S162" s="163">
        <f t="shared" si="35"/>
        <v>2</v>
      </c>
      <c r="T162" s="162" t="s">
        <v>48</v>
      </c>
    </row>
    <row r="163" spans="2:20" ht="20.25" customHeight="1">
      <c r="C163" s="109"/>
      <c r="D163" s="115">
        <f t="shared" si="29"/>
        <v>163</v>
      </c>
      <c r="E163" s="119" t="s">
        <v>180</v>
      </c>
      <c r="F163" s="121">
        <f t="shared" si="36"/>
        <v>162</v>
      </c>
      <c r="G163" s="118" t="s">
        <v>121</v>
      </c>
      <c r="H163" s="118"/>
      <c r="I163" s="117"/>
      <c r="J163" s="117"/>
      <c r="K163" s="131">
        <v>4</v>
      </c>
      <c r="L163" s="131" t="s">
        <v>81</v>
      </c>
      <c r="M163" s="155">
        <f t="shared" si="37"/>
        <v>4</v>
      </c>
      <c r="N163" s="117" t="s">
        <v>81</v>
      </c>
      <c r="O163" s="133">
        <v>0.5</v>
      </c>
      <c r="P163" s="117" t="s">
        <v>162</v>
      </c>
      <c r="Q163" s="163">
        <f t="shared" si="34"/>
        <v>2</v>
      </c>
      <c r="R163" s="161"/>
      <c r="S163" s="163">
        <f t="shared" si="35"/>
        <v>2</v>
      </c>
      <c r="T163" s="162" t="s">
        <v>48</v>
      </c>
    </row>
    <row r="164" spans="2:20" ht="20.25" customHeight="1">
      <c r="B164" s="124"/>
      <c r="C164" s="109">
        <f>D164</f>
        <v>164</v>
      </c>
      <c r="D164" s="115">
        <f t="shared" si="29"/>
        <v>164</v>
      </c>
      <c r="E164" s="116" t="s">
        <v>181</v>
      </c>
      <c r="F164" s="121">
        <f>D159</f>
        <v>159</v>
      </c>
      <c r="G164" s="118"/>
      <c r="H164" s="118"/>
      <c r="I164" s="117"/>
      <c r="J164" s="117"/>
      <c r="K164" s="131"/>
      <c r="L164" s="131"/>
      <c r="M164" s="132"/>
      <c r="N164" s="117"/>
      <c r="O164" s="133"/>
      <c r="P164" s="117"/>
      <c r="Q164" s="163"/>
      <c r="R164" s="161"/>
      <c r="S164" s="163"/>
      <c r="T164" s="162"/>
    </row>
    <row r="165" spans="2:20" ht="20.25" customHeight="1">
      <c r="C165" s="109"/>
      <c r="D165" s="115">
        <f t="shared" si="29"/>
        <v>165</v>
      </c>
      <c r="E165" s="119" t="s">
        <v>182</v>
      </c>
      <c r="F165" s="121">
        <f t="shared" si="36"/>
        <v>164</v>
      </c>
      <c r="G165" s="118" t="s">
        <v>44</v>
      </c>
      <c r="H165" s="118"/>
      <c r="I165" s="117">
        <v>24</v>
      </c>
      <c r="J165" s="117"/>
      <c r="K165" s="131">
        <v>1</v>
      </c>
      <c r="L165" s="131" t="s">
        <v>160</v>
      </c>
      <c r="M165" s="132">
        <v>1</v>
      </c>
      <c r="N165" s="117" t="s">
        <v>160</v>
      </c>
      <c r="O165" s="133">
        <v>4</v>
      </c>
      <c r="P165" s="117" t="s">
        <v>177</v>
      </c>
      <c r="Q165" s="163">
        <f t="shared" si="34"/>
        <v>4</v>
      </c>
      <c r="R165" s="161"/>
      <c r="S165" s="163">
        <f t="shared" si="35"/>
        <v>4</v>
      </c>
      <c r="T165" s="162" t="s">
        <v>42</v>
      </c>
    </row>
    <row r="166" spans="2:20" ht="20.25" customHeight="1">
      <c r="C166" s="109"/>
      <c r="D166" s="115">
        <f t="shared" si="29"/>
        <v>166</v>
      </c>
      <c r="E166" s="119" t="s">
        <v>183</v>
      </c>
      <c r="F166" s="121">
        <f t="shared" si="36"/>
        <v>165</v>
      </c>
      <c r="G166" s="118" t="s">
        <v>52</v>
      </c>
      <c r="H166" s="118"/>
      <c r="I166" s="117"/>
      <c r="J166" s="117"/>
      <c r="K166" s="131">
        <v>4</v>
      </c>
      <c r="L166" s="131" t="s">
        <v>81</v>
      </c>
      <c r="M166" s="155">
        <f t="shared" ref="M166:M168" si="38">K166</f>
        <v>4</v>
      </c>
      <c r="N166" s="117" t="s">
        <v>81</v>
      </c>
      <c r="O166" s="133">
        <v>0.5</v>
      </c>
      <c r="P166" s="117" t="s">
        <v>162</v>
      </c>
      <c r="Q166" s="163">
        <f t="shared" si="34"/>
        <v>2</v>
      </c>
      <c r="R166" s="161"/>
      <c r="S166" s="163">
        <f t="shared" si="35"/>
        <v>2</v>
      </c>
      <c r="T166" s="162" t="s">
        <v>48</v>
      </c>
    </row>
    <row r="167" spans="2:20" ht="20.25" customHeight="1">
      <c r="C167" s="109"/>
      <c r="D167" s="115">
        <f t="shared" si="29"/>
        <v>167</v>
      </c>
      <c r="E167" s="119" t="s">
        <v>184</v>
      </c>
      <c r="F167" s="121">
        <f t="shared" si="36"/>
        <v>166</v>
      </c>
      <c r="G167" s="118" t="s">
        <v>121</v>
      </c>
      <c r="H167" s="118"/>
      <c r="I167" s="117"/>
      <c r="J167" s="117"/>
      <c r="K167" s="131">
        <v>4</v>
      </c>
      <c r="L167" s="131" t="s">
        <v>81</v>
      </c>
      <c r="M167" s="155">
        <f t="shared" si="38"/>
        <v>4</v>
      </c>
      <c r="N167" s="117" t="s">
        <v>81</v>
      </c>
      <c r="O167" s="133">
        <v>0.5</v>
      </c>
      <c r="P167" s="117" t="s">
        <v>162</v>
      </c>
      <c r="Q167" s="163">
        <f t="shared" si="34"/>
        <v>2</v>
      </c>
      <c r="R167" s="161"/>
      <c r="S167" s="163">
        <f t="shared" si="35"/>
        <v>2</v>
      </c>
      <c r="T167" s="162" t="s">
        <v>48</v>
      </c>
    </row>
    <row r="168" spans="2:20" ht="20.25" customHeight="1">
      <c r="C168" s="109"/>
      <c r="D168" s="115">
        <f t="shared" si="29"/>
        <v>168</v>
      </c>
      <c r="E168" s="119" t="s">
        <v>185</v>
      </c>
      <c r="F168" s="121">
        <f t="shared" si="36"/>
        <v>167</v>
      </c>
      <c r="G168" s="118" t="s">
        <v>44</v>
      </c>
      <c r="H168" s="118"/>
      <c r="I168" s="117"/>
      <c r="J168" s="117"/>
      <c r="K168" s="131">
        <v>4</v>
      </c>
      <c r="L168" s="131" t="s">
        <v>81</v>
      </c>
      <c r="M168" s="155">
        <f t="shared" si="38"/>
        <v>4</v>
      </c>
      <c r="N168" s="117" t="s">
        <v>81</v>
      </c>
      <c r="O168" s="133">
        <v>0.5</v>
      </c>
      <c r="P168" s="117" t="s">
        <v>162</v>
      </c>
      <c r="Q168" s="163">
        <f t="shared" si="34"/>
        <v>2</v>
      </c>
      <c r="R168" s="161"/>
      <c r="S168" s="163">
        <f t="shared" si="35"/>
        <v>2</v>
      </c>
      <c r="T168" s="162" t="s">
        <v>48</v>
      </c>
    </row>
    <row r="169" spans="2:20" ht="20.25" customHeight="1">
      <c r="B169" s="124"/>
      <c r="C169" s="109">
        <f>D169</f>
        <v>169</v>
      </c>
      <c r="D169" s="115">
        <f t="shared" si="29"/>
        <v>169</v>
      </c>
      <c r="E169" s="116" t="s">
        <v>749</v>
      </c>
      <c r="F169" s="121">
        <f>D164</f>
        <v>164</v>
      </c>
      <c r="G169" s="118"/>
      <c r="H169" s="118"/>
      <c r="I169" s="117"/>
      <c r="J169" s="117"/>
      <c r="K169" s="131"/>
      <c r="L169" s="131"/>
      <c r="M169" s="132"/>
      <c r="N169" s="117"/>
      <c r="O169" s="133"/>
      <c r="P169" s="117"/>
      <c r="Q169" s="163"/>
      <c r="R169" s="161"/>
      <c r="S169" s="163"/>
      <c r="T169" s="162"/>
    </row>
    <row r="170" spans="2:20" ht="20.25" customHeight="1">
      <c r="C170" s="109"/>
      <c r="D170" s="115">
        <f t="shared" si="29"/>
        <v>170</v>
      </c>
      <c r="E170" s="119" t="s">
        <v>187</v>
      </c>
      <c r="F170" s="121">
        <f t="shared" si="36"/>
        <v>169</v>
      </c>
      <c r="G170" s="118" t="s">
        <v>44</v>
      </c>
      <c r="H170" s="118"/>
      <c r="I170" s="117"/>
      <c r="J170" s="117"/>
      <c r="K170" s="131">
        <v>4</v>
      </c>
      <c r="L170" s="131" t="s">
        <v>81</v>
      </c>
      <c r="M170" s="155">
        <f t="shared" ref="M170:M171" si="39">K170</f>
        <v>4</v>
      </c>
      <c r="N170" s="117" t="s">
        <v>81</v>
      </c>
      <c r="O170" s="133">
        <v>1</v>
      </c>
      <c r="P170" s="117" t="s">
        <v>162</v>
      </c>
      <c r="Q170" s="163">
        <f t="shared" si="34"/>
        <v>4</v>
      </c>
      <c r="R170" s="161"/>
      <c r="S170" s="163">
        <f t="shared" si="35"/>
        <v>4</v>
      </c>
      <c r="T170" s="162" t="s">
        <v>42</v>
      </c>
    </row>
    <row r="171" spans="2:20" ht="20.25" customHeight="1">
      <c r="C171" s="109"/>
      <c r="D171" s="115">
        <f t="shared" si="29"/>
        <v>171</v>
      </c>
      <c r="E171" s="119" t="s">
        <v>188</v>
      </c>
      <c r="F171" s="121">
        <f t="shared" si="36"/>
        <v>170</v>
      </c>
      <c r="G171" s="118" t="s">
        <v>44</v>
      </c>
      <c r="H171" s="118"/>
      <c r="I171" s="117"/>
      <c r="J171" s="117"/>
      <c r="K171" s="131">
        <v>4</v>
      </c>
      <c r="L171" s="131" t="s">
        <v>81</v>
      </c>
      <c r="M171" s="155">
        <f t="shared" si="39"/>
        <v>4</v>
      </c>
      <c r="N171" s="117" t="s">
        <v>81</v>
      </c>
      <c r="O171" s="133">
        <v>1</v>
      </c>
      <c r="P171" s="117" t="s">
        <v>162</v>
      </c>
      <c r="Q171" s="163">
        <f t="shared" si="34"/>
        <v>4</v>
      </c>
      <c r="R171" s="161"/>
      <c r="S171" s="163">
        <f t="shared" si="35"/>
        <v>4</v>
      </c>
      <c r="T171" s="162" t="s">
        <v>42</v>
      </c>
    </row>
    <row r="172" spans="2:20" ht="20.25" customHeight="1">
      <c r="B172" s="124"/>
      <c r="C172" s="109">
        <f>D172</f>
        <v>172</v>
      </c>
      <c r="D172" s="115">
        <f t="shared" si="29"/>
        <v>172</v>
      </c>
      <c r="E172" s="116" t="s">
        <v>189</v>
      </c>
      <c r="F172" s="121">
        <f>D169</f>
        <v>169</v>
      </c>
      <c r="G172" s="118"/>
      <c r="H172" s="118"/>
      <c r="I172" s="117"/>
      <c r="J172" s="117"/>
      <c r="K172" s="131"/>
      <c r="L172" s="131"/>
      <c r="M172" s="132"/>
      <c r="N172" s="117"/>
      <c r="O172" s="133"/>
      <c r="P172" s="117"/>
      <c r="Q172" s="163"/>
      <c r="R172" s="161"/>
      <c r="S172" s="163"/>
      <c r="T172" s="162"/>
    </row>
    <row r="173" spans="2:20" ht="20.25" customHeight="1">
      <c r="B173" s="124"/>
      <c r="C173" s="109"/>
      <c r="D173" s="115">
        <f t="shared" si="29"/>
        <v>173</v>
      </c>
      <c r="E173" s="119" t="s">
        <v>190</v>
      </c>
      <c r="F173" s="121">
        <f t="shared" si="36"/>
        <v>172</v>
      </c>
      <c r="G173" s="118" t="s">
        <v>44</v>
      </c>
      <c r="H173" s="118"/>
      <c r="I173" s="117">
        <v>12</v>
      </c>
      <c r="J173" s="117"/>
      <c r="K173" s="131">
        <v>1</v>
      </c>
      <c r="L173" s="131" t="s">
        <v>81</v>
      </c>
      <c r="M173" s="155">
        <f t="shared" ref="M173:M176" si="40">K173</f>
        <v>1</v>
      </c>
      <c r="N173" s="117" t="s">
        <v>81</v>
      </c>
      <c r="O173" s="133">
        <v>4</v>
      </c>
      <c r="P173" s="117" t="s">
        <v>162</v>
      </c>
      <c r="Q173" s="163">
        <f t="shared" si="34"/>
        <v>4</v>
      </c>
      <c r="R173" s="161"/>
      <c r="S173" s="163">
        <f t="shared" si="35"/>
        <v>4</v>
      </c>
      <c r="T173" s="162" t="s">
        <v>48</v>
      </c>
    </row>
    <row r="174" spans="2:20" ht="20.25" customHeight="1">
      <c r="C174" s="109"/>
      <c r="D174" s="115">
        <f t="shared" si="29"/>
        <v>174</v>
      </c>
      <c r="E174" s="119" t="s">
        <v>191</v>
      </c>
      <c r="F174" s="121">
        <f t="shared" si="36"/>
        <v>173</v>
      </c>
      <c r="G174" s="118" t="s">
        <v>52</v>
      </c>
      <c r="H174" s="118"/>
      <c r="I174" s="117"/>
      <c r="J174" s="117"/>
      <c r="K174" s="131">
        <v>1</v>
      </c>
      <c r="L174" s="131" t="s">
        <v>81</v>
      </c>
      <c r="M174" s="155">
        <f t="shared" si="40"/>
        <v>1</v>
      </c>
      <c r="N174" s="117" t="s">
        <v>81</v>
      </c>
      <c r="O174" s="133">
        <v>4</v>
      </c>
      <c r="P174" s="117" t="s">
        <v>162</v>
      </c>
      <c r="Q174" s="163">
        <f t="shared" si="34"/>
        <v>4</v>
      </c>
      <c r="R174" s="161"/>
      <c r="S174" s="163">
        <f t="shared" si="35"/>
        <v>4</v>
      </c>
      <c r="T174" s="162" t="s">
        <v>48</v>
      </c>
    </row>
    <row r="175" spans="2:20" ht="20.25" customHeight="1">
      <c r="C175" s="109"/>
      <c r="D175" s="115">
        <f t="shared" si="29"/>
        <v>175</v>
      </c>
      <c r="E175" s="119" t="s">
        <v>192</v>
      </c>
      <c r="F175" s="121">
        <f t="shared" si="36"/>
        <v>174</v>
      </c>
      <c r="G175" s="118" t="s">
        <v>44</v>
      </c>
      <c r="H175" s="118"/>
      <c r="I175" s="117"/>
      <c r="J175" s="117"/>
      <c r="K175" s="131">
        <v>1</v>
      </c>
      <c r="L175" s="131" t="s">
        <v>81</v>
      </c>
      <c r="M175" s="155">
        <f t="shared" si="40"/>
        <v>1</v>
      </c>
      <c r="N175" s="117" t="s">
        <v>81</v>
      </c>
      <c r="O175" s="133">
        <v>2</v>
      </c>
      <c r="P175" s="117" t="s">
        <v>162</v>
      </c>
      <c r="Q175" s="163">
        <f t="shared" si="34"/>
        <v>2</v>
      </c>
      <c r="R175" s="161"/>
      <c r="S175" s="163">
        <f t="shared" si="35"/>
        <v>2</v>
      </c>
      <c r="T175" s="162" t="s">
        <v>48</v>
      </c>
    </row>
    <row r="176" spans="2:20" ht="20.25" customHeight="1">
      <c r="C176" s="109"/>
      <c r="D176" s="115">
        <f t="shared" si="29"/>
        <v>176</v>
      </c>
      <c r="E176" s="119" t="s">
        <v>193</v>
      </c>
      <c r="F176" s="121">
        <f t="shared" si="36"/>
        <v>175</v>
      </c>
      <c r="G176" s="118" t="s">
        <v>44</v>
      </c>
      <c r="H176" s="118"/>
      <c r="I176" s="117"/>
      <c r="J176" s="117"/>
      <c r="K176" s="131">
        <v>1</v>
      </c>
      <c r="L176" s="131" t="s">
        <v>81</v>
      </c>
      <c r="M176" s="155">
        <f t="shared" si="40"/>
        <v>1</v>
      </c>
      <c r="N176" s="117" t="s">
        <v>81</v>
      </c>
      <c r="O176" s="133">
        <v>1</v>
      </c>
      <c r="P176" s="117" t="s">
        <v>162</v>
      </c>
      <c r="Q176" s="163">
        <f t="shared" si="34"/>
        <v>1</v>
      </c>
      <c r="R176" s="161"/>
      <c r="S176" s="163">
        <f t="shared" si="35"/>
        <v>1</v>
      </c>
      <c r="T176" s="162" t="s">
        <v>48</v>
      </c>
    </row>
    <row r="177" spans="2:20" ht="20.25" customHeight="1">
      <c r="B177" s="124"/>
      <c r="C177" s="109">
        <f t="shared" ref="C177:C178" si="41">D177</f>
        <v>177</v>
      </c>
      <c r="D177" s="115">
        <f t="shared" si="29"/>
        <v>177</v>
      </c>
      <c r="E177" s="176" t="s">
        <v>194</v>
      </c>
      <c r="F177" s="121">
        <f t="shared" si="36"/>
        <v>176</v>
      </c>
      <c r="G177" s="118"/>
      <c r="H177" s="118"/>
      <c r="I177" s="117"/>
      <c r="J177" s="117"/>
      <c r="K177" s="131"/>
      <c r="L177" s="131"/>
      <c r="M177" s="132"/>
      <c r="N177" s="117"/>
      <c r="O177" s="133"/>
      <c r="P177" s="117"/>
      <c r="Q177" s="163"/>
      <c r="R177" s="161"/>
      <c r="S177" s="163"/>
      <c r="T177" s="162"/>
    </row>
    <row r="178" spans="2:20" ht="20.25" customHeight="1">
      <c r="B178" s="124"/>
      <c r="C178" s="109">
        <f t="shared" si="41"/>
        <v>178</v>
      </c>
      <c r="D178" s="115">
        <f t="shared" si="29"/>
        <v>178</v>
      </c>
      <c r="E178" s="116" t="s">
        <v>195</v>
      </c>
      <c r="F178" s="121">
        <f t="shared" si="36"/>
        <v>177</v>
      </c>
      <c r="G178" s="118"/>
      <c r="H178" s="118"/>
      <c r="I178" s="117"/>
      <c r="J178" s="117"/>
      <c r="K178" s="131"/>
      <c r="L178" s="131"/>
      <c r="M178" s="132"/>
      <c r="N178" s="117"/>
      <c r="O178" s="133"/>
      <c r="P178" s="117"/>
      <c r="Q178" s="163"/>
      <c r="R178" s="161"/>
      <c r="S178" s="163"/>
      <c r="T178" s="162"/>
    </row>
    <row r="179" spans="2:20" ht="20.25" customHeight="1">
      <c r="C179" s="109"/>
      <c r="D179" s="115">
        <f t="shared" si="29"/>
        <v>179</v>
      </c>
      <c r="E179" s="119" t="s">
        <v>196</v>
      </c>
      <c r="F179" s="121">
        <f t="shared" si="36"/>
        <v>178</v>
      </c>
      <c r="G179" s="118"/>
      <c r="H179" s="118"/>
      <c r="I179" s="117"/>
      <c r="J179" s="117"/>
      <c r="K179" s="131">
        <v>1</v>
      </c>
      <c r="L179" s="131" t="s">
        <v>81</v>
      </c>
      <c r="M179" s="155">
        <f t="shared" ref="M179" si="42">K179</f>
        <v>1</v>
      </c>
      <c r="N179" s="117" t="s">
        <v>84</v>
      </c>
      <c r="O179" s="133">
        <v>4</v>
      </c>
      <c r="P179" s="117" t="s">
        <v>41</v>
      </c>
      <c r="Q179" s="163">
        <f t="shared" si="34"/>
        <v>4</v>
      </c>
      <c r="R179" s="161"/>
      <c r="S179" s="163">
        <f t="shared" si="35"/>
        <v>4</v>
      </c>
      <c r="T179" s="162" t="s">
        <v>48</v>
      </c>
    </row>
    <row r="180" spans="2:20" ht="20.25" customHeight="1">
      <c r="C180" s="109"/>
      <c r="D180" s="115">
        <f t="shared" si="29"/>
        <v>180</v>
      </c>
      <c r="E180" s="119" t="s">
        <v>197</v>
      </c>
      <c r="F180" s="121">
        <f t="shared" si="36"/>
        <v>179</v>
      </c>
      <c r="G180" s="118" t="s">
        <v>44</v>
      </c>
      <c r="H180" s="118"/>
      <c r="I180" s="117">
        <v>14</v>
      </c>
      <c r="J180" s="117"/>
      <c r="K180" s="131">
        <v>19</v>
      </c>
      <c r="L180" s="131" t="s">
        <v>81</v>
      </c>
      <c r="M180" s="132">
        <v>1</v>
      </c>
      <c r="N180" s="117" t="s">
        <v>84</v>
      </c>
      <c r="O180" s="133">
        <v>1</v>
      </c>
      <c r="P180" s="117" t="s">
        <v>41</v>
      </c>
      <c r="Q180" s="163">
        <f t="shared" si="34"/>
        <v>1</v>
      </c>
      <c r="R180" s="161"/>
      <c r="S180" s="163">
        <f t="shared" si="35"/>
        <v>1</v>
      </c>
      <c r="T180" s="162" t="s">
        <v>48</v>
      </c>
    </row>
    <row r="181" spans="2:20" ht="20.25" customHeight="1">
      <c r="C181" s="109"/>
      <c r="D181" s="115">
        <f t="shared" si="29"/>
        <v>181</v>
      </c>
      <c r="E181" s="119" t="s">
        <v>198</v>
      </c>
      <c r="F181" s="121">
        <f t="shared" si="36"/>
        <v>180</v>
      </c>
      <c r="G181" s="118" t="s">
        <v>52</v>
      </c>
      <c r="H181" s="118"/>
      <c r="I181" s="117"/>
      <c r="J181" s="117"/>
      <c r="K181" s="131">
        <v>19</v>
      </c>
      <c r="L181" s="131" t="s">
        <v>81</v>
      </c>
      <c r="M181" s="132">
        <v>1</v>
      </c>
      <c r="N181" s="117" t="s">
        <v>84</v>
      </c>
      <c r="O181" s="133">
        <v>5</v>
      </c>
      <c r="P181" s="117" t="s">
        <v>41</v>
      </c>
      <c r="Q181" s="163">
        <f t="shared" si="34"/>
        <v>5</v>
      </c>
      <c r="R181" s="161"/>
      <c r="S181" s="163">
        <f t="shared" si="35"/>
        <v>5</v>
      </c>
      <c r="T181" s="162" t="s">
        <v>48</v>
      </c>
    </row>
    <row r="182" spans="2:20" ht="20.25" customHeight="1">
      <c r="B182" s="124"/>
      <c r="C182" s="109">
        <f>D182</f>
        <v>182</v>
      </c>
      <c r="D182" s="115">
        <f t="shared" si="29"/>
        <v>182</v>
      </c>
      <c r="E182" s="116" t="s">
        <v>199</v>
      </c>
      <c r="F182" s="121">
        <f>D178</f>
        <v>178</v>
      </c>
      <c r="G182" s="118"/>
      <c r="H182" s="118"/>
      <c r="I182" s="117"/>
      <c r="J182" s="117"/>
      <c r="K182" s="131"/>
      <c r="L182" s="131"/>
      <c r="M182" s="132"/>
      <c r="N182" s="117"/>
      <c r="O182" s="133"/>
      <c r="P182" s="117"/>
      <c r="Q182" s="163"/>
      <c r="R182" s="161"/>
      <c r="S182" s="163"/>
      <c r="T182" s="162"/>
    </row>
    <row r="183" spans="2:20" ht="20.25" customHeight="1">
      <c r="C183" s="109"/>
      <c r="D183" s="115">
        <f t="shared" si="29"/>
        <v>183</v>
      </c>
      <c r="E183" s="119" t="s">
        <v>200</v>
      </c>
      <c r="F183" s="121">
        <f t="shared" si="36"/>
        <v>182</v>
      </c>
      <c r="G183" s="118" t="s">
        <v>201</v>
      </c>
      <c r="H183" s="118"/>
      <c r="I183" s="117"/>
      <c r="J183" s="117"/>
      <c r="K183" s="131">
        <v>19</v>
      </c>
      <c r="L183" s="131" t="s">
        <v>81</v>
      </c>
      <c r="M183" s="155">
        <f t="shared" ref="M183" si="43">K183</f>
        <v>19</v>
      </c>
      <c r="N183" s="117" t="s">
        <v>81</v>
      </c>
      <c r="O183" s="133">
        <v>1</v>
      </c>
      <c r="P183" s="117" t="s">
        <v>162</v>
      </c>
      <c r="Q183" s="163">
        <f t="shared" si="34"/>
        <v>19</v>
      </c>
      <c r="R183" s="161"/>
      <c r="S183" s="163">
        <f t="shared" si="35"/>
        <v>19</v>
      </c>
      <c r="T183" s="162" t="s">
        <v>48</v>
      </c>
    </row>
    <row r="184" spans="2:20" ht="20.25" customHeight="1">
      <c r="C184" s="109"/>
      <c r="D184" s="115">
        <f t="shared" si="29"/>
        <v>184</v>
      </c>
      <c r="E184" s="119" t="s">
        <v>202</v>
      </c>
      <c r="F184" s="121">
        <f t="shared" si="36"/>
        <v>183</v>
      </c>
      <c r="G184" s="118" t="s">
        <v>44</v>
      </c>
      <c r="H184" s="118"/>
      <c r="I184" s="117"/>
      <c r="J184" s="117" t="s">
        <v>203</v>
      </c>
      <c r="K184" s="131">
        <v>3</v>
      </c>
      <c r="L184" s="131" t="s">
        <v>81</v>
      </c>
      <c r="M184" s="155">
        <v>3</v>
      </c>
      <c r="N184" s="117" t="s">
        <v>81</v>
      </c>
      <c r="O184" s="133">
        <v>2</v>
      </c>
      <c r="P184" s="117" t="s">
        <v>162</v>
      </c>
      <c r="Q184" s="163">
        <f t="shared" si="34"/>
        <v>6</v>
      </c>
      <c r="R184" s="161"/>
      <c r="S184" s="163">
        <f t="shared" si="35"/>
        <v>6</v>
      </c>
      <c r="T184" s="162" t="s">
        <v>48</v>
      </c>
    </row>
    <row r="185" spans="2:20" ht="20.25" customHeight="1">
      <c r="C185" s="109">
        <f>D185</f>
        <v>185</v>
      </c>
      <c r="D185" s="115">
        <f t="shared" si="29"/>
        <v>185</v>
      </c>
      <c r="E185" s="116" t="s">
        <v>204</v>
      </c>
      <c r="F185" s="121">
        <f>D182</f>
        <v>182</v>
      </c>
      <c r="G185" s="118"/>
      <c r="H185" s="118"/>
      <c r="I185" s="117"/>
      <c r="J185" s="117"/>
      <c r="K185" s="131"/>
      <c r="L185" s="131"/>
      <c r="M185" s="132"/>
      <c r="N185" s="117"/>
      <c r="O185" s="133"/>
      <c r="P185" s="117"/>
      <c r="Q185" s="163"/>
      <c r="R185" s="161"/>
      <c r="S185" s="163"/>
      <c r="T185" s="162"/>
    </row>
    <row r="186" spans="2:20" ht="20.25" customHeight="1">
      <c r="C186" s="109"/>
      <c r="D186" s="115">
        <f t="shared" si="29"/>
        <v>186</v>
      </c>
      <c r="E186" s="119" t="s">
        <v>204</v>
      </c>
      <c r="F186" s="121">
        <f t="shared" si="36"/>
        <v>185</v>
      </c>
      <c r="G186" s="118" t="s">
        <v>55</v>
      </c>
      <c r="H186" s="118"/>
      <c r="I186" s="117" t="s">
        <v>205</v>
      </c>
      <c r="J186" s="117"/>
      <c r="K186" s="131">
        <v>3</v>
      </c>
      <c r="L186" s="131" t="s">
        <v>206</v>
      </c>
      <c r="M186" s="132">
        <v>1</v>
      </c>
      <c r="N186" s="117" t="s">
        <v>84</v>
      </c>
      <c r="O186" s="133">
        <v>10</v>
      </c>
      <c r="P186" s="117" t="s">
        <v>41</v>
      </c>
      <c r="Q186" s="163">
        <f t="shared" si="34"/>
        <v>10</v>
      </c>
      <c r="R186" s="161"/>
      <c r="S186" s="163">
        <f t="shared" si="35"/>
        <v>10</v>
      </c>
      <c r="T186" s="162" t="s">
        <v>41</v>
      </c>
    </row>
    <row r="187" spans="2:20" ht="20.25" customHeight="1">
      <c r="C187" s="109">
        <f>D187</f>
        <v>187</v>
      </c>
      <c r="D187" s="115">
        <f t="shared" si="29"/>
        <v>187</v>
      </c>
      <c r="E187" s="116" t="s">
        <v>207</v>
      </c>
      <c r="F187" s="121">
        <f>D185</f>
        <v>185</v>
      </c>
      <c r="G187" s="118"/>
      <c r="H187" s="118"/>
      <c r="I187" s="117"/>
      <c r="J187" s="117"/>
      <c r="K187" s="131"/>
      <c r="L187" s="131"/>
      <c r="M187" s="132"/>
      <c r="N187" s="117"/>
      <c r="O187" s="133"/>
      <c r="P187" s="117"/>
      <c r="Q187" s="163"/>
      <c r="R187" s="161"/>
      <c r="S187" s="163"/>
      <c r="T187" s="162"/>
    </row>
    <row r="188" spans="2:20" ht="20.25" customHeight="1">
      <c r="C188" s="109"/>
      <c r="D188" s="115">
        <f t="shared" si="29"/>
        <v>188</v>
      </c>
      <c r="E188" s="119" t="s">
        <v>208</v>
      </c>
      <c r="F188" s="121">
        <f t="shared" si="36"/>
        <v>187</v>
      </c>
      <c r="G188" s="118" t="s">
        <v>44</v>
      </c>
      <c r="H188" s="118"/>
      <c r="I188" s="117"/>
      <c r="J188" s="117"/>
      <c r="K188" s="131">
        <v>3</v>
      </c>
      <c r="L188" s="131" t="s">
        <v>206</v>
      </c>
      <c r="M188" s="132">
        <v>4</v>
      </c>
      <c r="N188" s="117" t="s">
        <v>206</v>
      </c>
      <c r="O188" s="133">
        <v>6</v>
      </c>
      <c r="P188" s="117" t="s">
        <v>48</v>
      </c>
      <c r="Q188" s="163">
        <f t="shared" si="34"/>
        <v>24</v>
      </c>
      <c r="R188" s="161"/>
      <c r="S188" s="163">
        <f t="shared" si="35"/>
        <v>24</v>
      </c>
      <c r="T188" s="162" t="s">
        <v>162</v>
      </c>
    </row>
    <row r="189" spans="2:20" ht="20.25" customHeight="1">
      <c r="C189" s="109"/>
      <c r="D189" s="115">
        <f t="shared" si="29"/>
        <v>189</v>
      </c>
      <c r="E189" s="119" t="s">
        <v>209</v>
      </c>
      <c r="F189" s="121">
        <f t="shared" si="36"/>
        <v>188</v>
      </c>
      <c r="G189" s="118" t="s">
        <v>63</v>
      </c>
      <c r="H189" s="118"/>
      <c r="I189" s="117"/>
      <c r="J189" s="117"/>
      <c r="K189" s="131">
        <v>9</v>
      </c>
      <c r="L189" s="131" t="s">
        <v>81</v>
      </c>
      <c r="M189" s="155">
        <f>1308*9*2</f>
        <v>23544</v>
      </c>
      <c r="N189" s="117" t="s">
        <v>210</v>
      </c>
      <c r="O189" s="175">
        <f>1/100</f>
        <v>0.01</v>
      </c>
      <c r="P189" s="117"/>
      <c r="Q189" s="163">
        <f t="shared" si="34"/>
        <v>235.44</v>
      </c>
      <c r="R189" s="161"/>
      <c r="S189" s="163">
        <f>(Q189+R189)/16</f>
        <v>14.715</v>
      </c>
      <c r="T189" s="162" t="s">
        <v>42</v>
      </c>
    </row>
    <row r="190" spans="2:20" ht="20.25" customHeight="1">
      <c r="C190" s="109">
        <f>D190</f>
        <v>190</v>
      </c>
      <c r="D190" s="115">
        <f t="shared" si="29"/>
        <v>190</v>
      </c>
      <c r="E190" s="116" t="s">
        <v>211</v>
      </c>
      <c r="F190" s="121">
        <f>D187</f>
        <v>187</v>
      </c>
      <c r="G190" s="118"/>
      <c r="H190" s="118"/>
      <c r="I190" s="117"/>
      <c r="J190" s="117"/>
      <c r="K190" s="131"/>
      <c r="L190" s="131"/>
      <c r="M190" s="132"/>
      <c r="N190" s="117"/>
      <c r="O190" s="133"/>
      <c r="P190" s="117"/>
      <c r="Q190" s="163"/>
      <c r="R190" s="161"/>
      <c r="S190" s="163"/>
      <c r="T190" s="162"/>
    </row>
    <row r="191" spans="2:20" ht="20.25" customHeight="1">
      <c r="C191" s="109"/>
      <c r="D191" s="115">
        <f t="shared" si="29"/>
        <v>191</v>
      </c>
      <c r="E191" s="119" t="s">
        <v>212</v>
      </c>
      <c r="F191" s="121">
        <f t="shared" si="36"/>
        <v>190</v>
      </c>
      <c r="G191" s="118" t="s">
        <v>44</v>
      </c>
      <c r="H191" s="118"/>
      <c r="I191" s="117"/>
      <c r="J191" s="117"/>
      <c r="K191" s="131">
        <v>3</v>
      </c>
      <c r="L191" s="131" t="s">
        <v>81</v>
      </c>
      <c r="M191" s="155">
        <f t="shared" ref="M191" si="44">K191</f>
        <v>3</v>
      </c>
      <c r="N191" s="117" t="s">
        <v>81</v>
      </c>
      <c r="O191" s="133">
        <v>0.25</v>
      </c>
      <c r="P191" s="117" t="s">
        <v>162</v>
      </c>
      <c r="Q191" s="163">
        <f t="shared" si="34"/>
        <v>0.75</v>
      </c>
      <c r="R191" s="161"/>
      <c r="S191" s="163">
        <f t="shared" si="35"/>
        <v>0.75</v>
      </c>
      <c r="T191" s="162" t="s">
        <v>48</v>
      </c>
    </row>
    <row r="192" spans="2:20" ht="20.25" customHeight="1">
      <c r="C192" s="109"/>
      <c r="D192" s="115">
        <f t="shared" si="29"/>
        <v>192</v>
      </c>
      <c r="E192" s="119" t="s">
        <v>213</v>
      </c>
      <c r="F192" s="121">
        <f t="shared" si="36"/>
        <v>191</v>
      </c>
      <c r="G192" s="118" t="s">
        <v>44</v>
      </c>
      <c r="H192" s="118"/>
      <c r="I192" s="117"/>
      <c r="J192" s="117"/>
      <c r="K192" s="131">
        <v>3</v>
      </c>
      <c r="L192" s="131" t="s">
        <v>81</v>
      </c>
      <c r="M192" s="132">
        <v>1</v>
      </c>
      <c r="N192" s="117" t="s">
        <v>160</v>
      </c>
      <c r="O192" s="133">
        <v>1</v>
      </c>
      <c r="P192" s="117" t="s">
        <v>48</v>
      </c>
      <c r="Q192" s="163">
        <f t="shared" si="34"/>
        <v>1</v>
      </c>
      <c r="R192" s="161"/>
      <c r="S192" s="163">
        <f t="shared" si="35"/>
        <v>1</v>
      </c>
      <c r="T192" s="162" t="s">
        <v>48</v>
      </c>
    </row>
    <row r="193" spans="3:20" ht="20.25" customHeight="1">
      <c r="C193" s="109"/>
      <c r="D193" s="115">
        <f t="shared" si="29"/>
        <v>193</v>
      </c>
      <c r="E193" s="119" t="s">
        <v>214</v>
      </c>
      <c r="F193" s="121">
        <f t="shared" si="36"/>
        <v>192</v>
      </c>
      <c r="G193" s="118" t="s">
        <v>55</v>
      </c>
      <c r="H193" s="118"/>
      <c r="I193" s="117"/>
      <c r="J193" s="117"/>
      <c r="K193" s="131">
        <v>3</v>
      </c>
      <c r="L193" s="131" t="s">
        <v>81</v>
      </c>
      <c r="M193" s="132">
        <v>1</v>
      </c>
      <c r="N193" s="117" t="s">
        <v>160</v>
      </c>
      <c r="O193" s="133">
        <v>5</v>
      </c>
      <c r="P193" s="117" t="s">
        <v>41</v>
      </c>
      <c r="Q193" s="163">
        <f t="shared" si="34"/>
        <v>5</v>
      </c>
      <c r="R193" s="161"/>
      <c r="S193" s="163">
        <f t="shared" si="35"/>
        <v>5</v>
      </c>
      <c r="T193" s="162" t="s">
        <v>41</v>
      </c>
    </row>
    <row r="194" spans="3:20" ht="20.25" customHeight="1">
      <c r="C194" s="109"/>
      <c r="D194" s="115">
        <f t="shared" si="29"/>
        <v>194</v>
      </c>
      <c r="E194" s="119" t="s">
        <v>215</v>
      </c>
      <c r="F194" s="121">
        <f t="shared" si="36"/>
        <v>193</v>
      </c>
      <c r="G194" s="118" t="s">
        <v>55</v>
      </c>
      <c r="H194" s="118"/>
      <c r="I194" s="117"/>
      <c r="J194" s="117"/>
      <c r="K194" s="131">
        <v>3</v>
      </c>
      <c r="L194" s="131" t="s">
        <v>81</v>
      </c>
      <c r="M194" s="132">
        <v>1</v>
      </c>
      <c r="N194" s="117" t="s">
        <v>160</v>
      </c>
      <c r="O194" s="133">
        <v>5</v>
      </c>
      <c r="P194" s="117" t="s">
        <v>41</v>
      </c>
      <c r="Q194" s="163">
        <f t="shared" si="34"/>
        <v>5</v>
      </c>
      <c r="R194" s="161"/>
      <c r="S194" s="163">
        <f t="shared" si="35"/>
        <v>5</v>
      </c>
      <c r="T194" s="162" t="s">
        <v>41</v>
      </c>
    </row>
    <row r="195" spans="3:20" ht="20.25" customHeight="1">
      <c r="C195" s="109"/>
      <c r="D195" s="115">
        <f t="shared" ref="D195:D258" si="45">D194+1</f>
        <v>195</v>
      </c>
      <c r="E195" s="119" t="s">
        <v>216</v>
      </c>
      <c r="F195" s="121">
        <f t="shared" si="36"/>
        <v>194</v>
      </c>
      <c r="G195" s="118" t="s">
        <v>217</v>
      </c>
      <c r="H195" s="118"/>
      <c r="I195" s="117"/>
      <c r="J195" s="117"/>
      <c r="K195" s="131">
        <v>3</v>
      </c>
      <c r="L195" s="131" t="s">
        <v>81</v>
      </c>
      <c r="M195" s="132">
        <v>1</v>
      </c>
      <c r="N195" s="117" t="s">
        <v>160</v>
      </c>
      <c r="O195" s="133">
        <v>1</v>
      </c>
      <c r="P195" s="117" t="s">
        <v>41</v>
      </c>
      <c r="Q195" s="163">
        <f t="shared" si="34"/>
        <v>1</v>
      </c>
      <c r="R195" s="161"/>
      <c r="S195" s="163">
        <f t="shared" si="35"/>
        <v>1</v>
      </c>
      <c r="T195" s="162" t="s">
        <v>41</v>
      </c>
    </row>
    <row r="196" spans="3:20" ht="20.25" customHeight="1">
      <c r="C196" s="109">
        <f>D196</f>
        <v>196</v>
      </c>
      <c r="D196" s="115">
        <f t="shared" si="45"/>
        <v>196</v>
      </c>
      <c r="E196" s="116" t="s">
        <v>218</v>
      </c>
      <c r="F196" s="121">
        <f>D190</f>
        <v>190</v>
      </c>
      <c r="G196" s="118"/>
      <c r="H196" s="118"/>
      <c r="I196" s="117"/>
      <c r="J196" s="117"/>
      <c r="K196" s="131"/>
      <c r="L196" s="131"/>
      <c r="M196" s="132"/>
      <c r="N196" s="117"/>
      <c r="O196" s="133"/>
      <c r="P196" s="117"/>
      <c r="Q196" s="163"/>
      <c r="R196" s="161"/>
      <c r="S196" s="163"/>
      <c r="T196" s="162"/>
    </row>
    <row r="197" spans="3:20" ht="20.25" customHeight="1">
      <c r="C197" s="109"/>
      <c r="D197" s="115">
        <f t="shared" si="45"/>
        <v>197</v>
      </c>
      <c r="E197" s="119" t="s">
        <v>219</v>
      </c>
      <c r="F197" s="121">
        <f t="shared" si="36"/>
        <v>196</v>
      </c>
      <c r="G197" s="118"/>
      <c r="H197" s="118"/>
      <c r="I197" s="117"/>
      <c r="J197" s="117"/>
      <c r="K197" s="131">
        <v>2</v>
      </c>
      <c r="L197" s="131" t="s">
        <v>81</v>
      </c>
      <c r="M197" s="155">
        <v>1</v>
      </c>
      <c r="N197" s="117" t="s">
        <v>84</v>
      </c>
      <c r="O197" s="133">
        <v>4</v>
      </c>
      <c r="P197" s="117" t="s">
        <v>41</v>
      </c>
      <c r="Q197" s="163">
        <f t="shared" si="34"/>
        <v>4</v>
      </c>
      <c r="R197" s="161"/>
      <c r="S197" s="163">
        <f t="shared" si="35"/>
        <v>4</v>
      </c>
      <c r="T197" s="162" t="s">
        <v>42</v>
      </c>
    </row>
    <row r="198" spans="3:20" ht="20.25" customHeight="1">
      <c r="C198" s="109"/>
      <c r="D198" s="115">
        <f t="shared" si="45"/>
        <v>198</v>
      </c>
      <c r="E198" s="119" t="s">
        <v>220</v>
      </c>
      <c r="F198" s="121">
        <f t="shared" si="36"/>
        <v>197</v>
      </c>
      <c r="G198" s="118" t="s">
        <v>55</v>
      </c>
      <c r="H198" s="118"/>
      <c r="I198" s="117">
        <v>20</v>
      </c>
      <c r="J198" s="117"/>
      <c r="K198" s="131">
        <v>2</v>
      </c>
      <c r="L198" s="131" t="s">
        <v>81</v>
      </c>
      <c r="M198" s="132">
        <v>1</v>
      </c>
      <c r="N198" s="117" t="s">
        <v>84</v>
      </c>
      <c r="O198" s="133">
        <v>1</v>
      </c>
      <c r="P198" s="117" t="s">
        <v>41</v>
      </c>
      <c r="Q198" s="163">
        <f t="shared" si="34"/>
        <v>1</v>
      </c>
      <c r="R198" s="161"/>
      <c r="S198" s="163">
        <f t="shared" si="35"/>
        <v>1</v>
      </c>
      <c r="T198" s="162" t="s">
        <v>42</v>
      </c>
    </row>
    <row r="199" spans="3:20" ht="20.25" customHeight="1">
      <c r="C199" s="109"/>
      <c r="D199" s="115">
        <f t="shared" si="45"/>
        <v>199</v>
      </c>
      <c r="E199" s="119" t="s">
        <v>221</v>
      </c>
      <c r="F199" s="121">
        <f t="shared" si="36"/>
        <v>198</v>
      </c>
      <c r="G199" s="118" t="s">
        <v>55</v>
      </c>
      <c r="H199" s="118"/>
      <c r="I199" s="117"/>
      <c r="J199" s="117"/>
      <c r="K199" s="131">
        <v>2</v>
      </c>
      <c r="L199" s="131" t="s">
        <v>81</v>
      </c>
      <c r="M199" s="132">
        <v>1</v>
      </c>
      <c r="N199" s="117" t="s">
        <v>84</v>
      </c>
      <c r="O199" s="133">
        <v>5</v>
      </c>
      <c r="P199" s="117" t="s">
        <v>41</v>
      </c>
      <c r="Q199" s="163">
        <f t="shared" si="34"/>
        <v>5</v>
      </c>
      <c r="R199" s="161"/>
      <c r="S199" s="163">
        <f t="shared" si="35"/>
        <v>5</v>
      </c>
      <c r="T199" s="162" t="s">
        <v>42</v>
      </c>
    </row>
    <row r="200" spans="3:20" ht="20.25" customHeight="1">
      <c r="C200" s="109">
        <f>D200</f>
        <v>200</v>
      </c>
      <c r="D200" s="115">
        <f t="shared" si="45"/>
        <v>200</v>
      </c>
      <c r="E200" s="116" t="s">
        <v>222</v>
      </c>
      <c r="F200" s="121">
        <f>D196</f>
        <v>196</v>
      </c>
      <c r="G200" s="118"/>
      <c r="H200" s="118"/>
      <c r="I200" s="117"/>
      <c r="J200" s="117"/>
      <c r="K200" s="131"/>
      <c r="L200" s="131"/>
      <c r="M200" s="132"/>
      <c r="N200" s="117"/>
      <c r="O200" s="133"/>
      <c r="P200" s="117"/>
      <c r="Q200" s="163"/>
      <c r="R200" s="161"/>
      <c r="S200" s="163"/>
      <c r="T200" s="162"/>
    </row>
    <row r="201" spans="3:20" ht="20.25" customHeight="1">
      <c r="C201" s="109"/>
      <c r="D201" s="115">
        <f t="shared" si="45"/>
        <v>201</v>
      </c>
      <c r="E201" s="119" t="s">
        <v>223</v>
      </c>
      <c r="F201" s="121">
        <f t="shared" si="36"/>
        <v>200</v>
      </c>
      <c r="G201" s="118" t="s">
        <v>224</v>
      </c>
      <c r="H201" s="118"/>
      <c r="I201" s="117"/>
      <c r="J201" s="117"/>
      <c r="K201" s="131">
        <v>2</v>
      </c>
      <c r="L201" s="131" t="s">
        <v>81</v>
      </c>
      <c r="M201" s="155">
        <f t="shared" ref="M201:M202" si="46">K201</f>
        <v>2</v>
      </c>
      <c r="N201" s="117" t="s">
        <v>81</v>
      </c>
      <c r="O201" s="133">
        <v>2</v>
      </c>
      <c r="P201" s="117" t="s">
        <v>162</v>
      </c>
      <c r="Q201" s="163">
        <f t="shared" si="34"/>
        <v>4</v>
      </c>
      <c r="R201" s="161"/>
      <c r="S201" s="163">
        <f t="shared" si="35"/>
        <v>4</v>
      </c>
      <c r="T201" s="162" t="s">
        <v>162</v>
      </c>
    </row>
    <row r="202" spans="3:20" ht="20.25" customHeight="1">
      <c r="C202" s="109"/>
      <c r="D202" s="115">
        <f t="shared" si="45"/>
        <v>202</v>
      </c>
      <c r="E202" s="119" t="s">
        <v>225</v>
      </c>
      <c r="F202" s="121">
        <f t="shared" si="36"/>
        <v>201</v>
      </c>
      <c r="G202" s="118" t="s">
        <v>44</v>
      </c>
      <c r="H202" s="118"/>
      <c r="I202" s="117"/>
      <c r="J202" s="117"/>
      <c r="K202" s="131">
        <v>2</v>
      </c>
      <c r="L202" s="131" t="s">
        <v>81</v>
      </c>
      <c r="M202" s="155">
        <f t="shared" si="46"/>
        <v>2</v>
      </c>
      <c r="N202" s="117" t="s">
        <v>81</v>
      </c>
      <c r="O202" s="133">
        <v>0.5</v>
      </c>
      <c r="P202" s="117" t="s">
        <v>162</v>
      </c>
      <c r="Q202" s="163">
        <f t="shared" si="34"/>
        <v>1</v>
      </c>
      <c r="R202" s="161"/>
      <c r="S202" s="163">
        <f t="shared" si="35"/>
        <v>1</v>
      </c>
      <c r="T202" s="162" t="s">
        <v>162</v>
      </c>
    </row>
    <row r="203" spans="3:20" ht="20.25" customHeight="1">
      <c r="C203" s="109">
        <f>D203</f>
        <v>203</v>
      </c>
      <c r="D203" s="115">
        <f t="shared" si="45"/>
        <v>203</v>
      </c>
      <c r="E203" s="116" t="s">
        <v>226</v>
      </c>
      <c r="F203" s="121">
        <f>D200</f>
        <v>200</v>
      </c>
      <c r="G203" s="118"/>
      <c r="H203" s="118"/>
      <c r="I203" s="117"/>
      <c r="J203" s="117"/>
      <c r="K203" s="131"/>
      <c r="L203" s="131"/>
      <c r="M203" s="132"/>
      <c r="N203" s="117"/>
      <c r="O203" s="133"/>
      <c r="P203" s="117"/>
      <c r="Q203" s="163"/>
      <c r="R203" s="161"/>
      <c r="S203" s="163"/>
      <c r="T203" s="162"/>
    </row>
    <row r="204" spans="3:20" ht="20.25" customHeight="1">
      <c r="C204" s="109"/>
      <c r="D204" s="115">
        <f t="shared" si="45"/>
        <v>204</v>
      </c>
      <c r="E204" s="119" t="s">
        <v>227</v>
      </c>
      <c r="F204" s="121">
        <f t="shared" si="36"/>
        <v>203</v>
      </c>
      <c r="G204" s="118" t="s">
        <v>55</v>
      </c>
      <c r="H204" s="118"/>
      <c r="I204" s="117" t="s">
        <v>228</v>
      </c>
      <c r="J204" s="117"/>
      <c r="K204" s="131">
        <v>1</v>
      </c>
      <c r="L204" s="131" t="s">
        <v>206</v>
      </c>
      <c r="M204" s="132">
        <v>1</v>
      </c>
      <c r="N204" s="117" t="s">
        <v>84</v>
      </c>
      <c r="O204" s="133">
        <v>10</v>
      </c>
      <c r="P204" s="117" t="s">
        <v>41</v>
      </c>
      <c r="Q204" s="163">
        <f t="shared" si="34"/>
        <v>10</v>
      </c>
      <c r="R204" s="161"/>
      <c r="S204" s="163">
        <f t="shared" si="35"/>
        <v>10</v>
      </c>
      <c r="T204" s="162"/>
    </row>
    <row r="205" spans="3:20" ht="20.25" customHeight="1">
      <c r="C205" s="109">
        <f>D205</f>
        <v>205</v>
      </c>
      <c r="D205" s="115">
        <f t="shared" si="45"/>
        <v>205</v>
      </c>
      <c r="E205" s="116" t="s">
        <v>229</v>
      </c>
      <c r="F205" s="121">
        <f>D203</f>
        <v>203</v>
      </c>
      <c r="G205" s="118"/>
      <c r="H205" s="118"/>
      <c r="I205" s="117"/>
      <c r="J205" s="117"/>
      <c r="K205" s="131"/>
      <c r="L205" s="131"/>
      <c r="M205" s="132"/>
      <c r="N205" s="117"/>
      <c r="O205" s="133"/>
      <c r="P205" s="117"/>
      <c r="Q205" s="163"/>
      <c r="R205" s="161"/>
      <c r="S205" s="163"/>
      <c r="T205" s="162"/>
    </row>
    <row r="206" spans="3:20" ht="20.25" customHeight="1">
      <c r="C206" s="109"/>
      <c r="D206" s="115">
        <f t="shared" si="45"/>
        <v>206</v>
      </c>
      <c r="E206" s="119" t="s">
        <v>230</v>
      </c>
      <c r="F206" s="121">
        <f t="shared" si="36"/>
        <v>205</v>
      </c>
      <c r="G206" s="118" t="s">
        <v>44</v>
      </c>
      <c r="H206" s="118"/>
      <c r="I206" s="117"/>
      <c r="J206" s="117"/>
      <c r="K206" s="131">
        <v>1</v>
      </c>
      <c r="L206" s="131" t="s">
        <v>206</v>
      </c>
      <c r="M206" s="132">
        <v>1</v>
      </c>
      <c r="N206" s="117" t="s">
        <v>206</v>
      </c>
      <c r="O206" s="133">
        <v>3</v>
      </c>
      <c r="P206" s="117" t="s">
        <v>48</v>
      </c>
      <c r="Q206" s="163">
        <f t="shared" si="34"/>
        <v>3</v>
      </c>
      <c r="R206" s="161"/>
      <c r="S206" s="163">
        <f t="shared" si="35"/>
        <v>3</v>
      </c>
      <c r="T206" s="162" t="s">
        <v>48</v>
      </c>
    </row>
    <row r="207" spans="3:20" ht="20.25" customHeight="1">
      <c r="C207" s="109"/>
      <c r="D207" s="115">
        <f t="shared" si="45"/>
        <v>207</v>
      </c>
      <c r="E207" s="119" t="s">
        <v>231</v>
      </c>
      <c r="F207" s="121">
        <f t="shared" si="36"/>
        <v>206</v>
      </c>
      <c r="G207" s="118" t="s">
        <v>63</v>
      </c>
      <c r="H207" s="118"/>
      <c r="I207" s="117"/>
      <c r="J207" s="117"/>
      <c r="K207" s="131">
        <v>2</v>
      </c>
      <c r="L207" s="131" t="s">
        <v>232</v>
      </c>
      <c r="M207" s="155">
        <f>1308*2*1</f>
        <v>2616</v>
      </c>
      <c r="N207" s="117" t="s">
        <v>210</v>
      </c>
      <c r="O207" s="175">
        <f>1/100</f>
        <v>0.01</v>
      </c>
      <c r="P207" s="117"/>
      <c r="Q207" s="163">
        <f t="shared" si="34"/>
        <v>26.16</v>
      </c>
      <c r="R207" s="161"/>
      <c r="S207" s="163">
        <f t="shared" si="35"/>
        <v>26.16</v>
      </c>
      <c r="T207" s="162"/>
    </row>
    <row r="208" spans="3:20" ht="20.25" customHeight="1">
      <c r="C208" s="109">
        <f>D208</f>
        <v>208</v>
      </c>
      <c r="D208" s="115">
        <f t="shared" si="45"/>
        <v>208</v>
      </c>
      <c r="E208" s="116" t="s">
        <v>233</v>
      </c>
      <c r="F208" s="121">
        <f>D22</f>
        <v>22</v>
      </c>
      <c r="G208" s="118"/>
      <c r="H208" s="118"/>
      <c r="I208" s="117"/>
      <c r="J208" s="117"/>
      <c r="K208" s="131"/>
      <c r="L208" s="131"/>
      <c r="M208" s="132"/>
      <c r="N208" s="117"/>
      <c r="O208" s="133"/>
      <c r="P208" s="117"/>
      <c r="Q208" s="163"/>
      <c r="R208" s="161"/>
      <c r="S208" s="163"/>
      <c r="T208" s="162"/>
    </row>
    <row r="209" spans="3:20" ht="20.25" customHeight="1">
      <c r="C209" s="109"/>
      <c r="D209" s="115">
        <f t="shared" si="45"/>
        <v>209</v>
      </c>
      <c r="E209" s="119" t="s">
        <v>234</v>
      </c>
      <c r="F209" s="121">
        <f t="shared" si="36"/>
        <v>208</v>
      </c>
      <c r="G209" s="118"/>
      <c r="H209" s="118"/>
      <c r="I209" s="117"/>
      <c r="J209" s="117"/>
      <c r="K209" s="131">
        <v>1</v>
      </c>
      <c r="L209" s="131" t="s">
        <v>81</v>
      </c>
      <c r="M209" s="155">
        <f t="shared" ref="M209:M212" si="47">K209</f>
        <v>1</v>
      </c>
      <c r="N209" s="117" t="s">
        <v>84</v>
      </c>
      <c r="O209" s="133">
        <v>4</v>
      </c>
      <c r="P209" s="117" t="s">
        <v>41</v>
      </c>
      <c r="Q209" s="163">
        <f t="shared" si="34"/>
        <v>4</v>
      </c>
      <c r="R209" s="161"/>
      <c r="S209" s="163">
        <f t="shared" si="35"/>
        <v>4</v>
      </c>
      <c r="T209" s="162" t="s">
        <v>41</v>
      </c>
    </row>
    <row r="210" spans="3:20" ht="20.25" customHeight="1">
      <c r="C210" s="109"/>
      <c r="D210" s="115">
        <f t="shared" si="45"/>
        <v>210</v>
      </c>
      <c r="E210" s="119" t="s">
        <v>235</v>
      </c>
      <c r="F210" s="121">
        <f t="shared" si="36"/>
        <v>209</v>
      </c>
      <c r="G210" s="118" t="s">
        <v>44</v>
      </c>
      <c r="H210" s="118"/>
      <c r="I210" s="117"/>
      <c r="J210" s="117"/>
      <c r="K210" s="131">
        <v>22</v>
      </c>
      <c r="L210" s="131" t="s">
        <v>81</v>
      </c>
      <c r="M210" s="132">
        <f t="shared" si="47"/>
        <v>22</v>
      </c>
      <c r="N210" s="117" t="s">
        <v>236</v>
      </c>
      <c r="O210" s="133">
        <v>0.25</v>
      </c>
      <c r="P210" s="117" t="s">
        <v>162</v>
      </c>
      <c r="Q210" s="163">
        <f t="shared" si="34"/>
        <v>5.5</v>
      </c>
      <c r="R210" s="161"/>
      <c r="S210" s="163">
        <f t="shared" si="35"/>
        <v>5.5</v>
      </c>
      <c r="T210" s="162" t="s">
        <v>48</v>
      </c>
    </row>
    <row r="211" spans="3:20" ht="20.25" customHeight="1">
      <c r="C211" s="109"/>
      <c r="D211" s="115">
        <f t="shared" si="45"/>
        <v>211</v>
      </c>
      <c r="E211" s="119" t="s">
        <v>237</v>
      </c>
      <c r="F211" s="121">
        <f t="shared" si="36"/>
        <v>210</v>
      </c>
      <c r="G211" s="118" t="s">
        <v>238</v>
      </c>
      <c r="H211" s="118"/>
      <c r="I211" s="117"/>
      <c r="J211" s="117"/>
      <c r="K211" s="131">
        <v>22</v>
      </c>
      <c r="L211" s="131" t="s">
        <v>81</v>
      </c>
      <c r="M211" s="132">
        <f t="shared" si="47"/>
        <v>22</v>
      </c>
      <c r="N211" s="117" t="s">
        <v>81</v>
      </c>
      <c r="O211" s="133">
        <v>0.45</v>
      </c>
      <c r="P211" s="117" t="s">
        <v>162</v>
      </c>
      <c r="Q211" s="163">
        <f t="shared" si="34"/>
        <v>9.9</v>
      </c>
      <c r="R211" s="161"/>
      <c r="S211" s="163">
        <f t="shared" si="35"/>
        <v>9.9</v>
      </c>
      <c r="T211" s="162" t="s">
        <v>750</v>
      </c>
    </row>
    <row r="212" spans="3:20" ht="20.25" customHeight="1">
      <c r="C212" s="109"/>
      <c r="D212" s="115">
        <f t="shared" si="45"/>
        <v>212</v>
      </c>
      <c r="E212" s="119" t="s">
        <v>239</v>
      </c>
      <c r="F212" s="121">
        <f t="shared" si="36"/>
        <v>211</v>
      </c>
      <c r="G212" s="118" t="s">
        <v>240</v>
      </c>
      <c r="H212" s="118"/>
      <c r="I212" s="117"/>
      <c r="J212" s="117"/>
      <c r="K212" s="131">
        <v>22</v>
      </c>
      <c r="L212" s="131" t="s">
        <v>81</v>
      </c>
      <c r="M212" s="132">
        <f t="shared" si="47"/>
        <v>22</v>
      </c>
      <c r="N212" s="117" t="s">
        <v>81</v>
      </c>
      <c r="O212" s="133">
        <v>0.5</v>
      </c>
      <c r="P212" s="117" t="s">
        <v>162</v>
      </c>
      <c r="Q212" s="163">
        <f t="shared" si="34"/>
        <v>11</v>
      </c>
      <c r="R212" s="161"/>
      <c r="S212" s="163">
        <f t="shared" si="35"/>
        <v>11</v>
      </c>
      <c r="T212" s="162" t="s">
        <v>48</v>
      </c>
    </row>
    <row r="213" spans="3:20" ht="20.25" customHeight="1">
      <c r="C213" s="109">
        <f>D213</f>
        <v>213</v>
      </c>
      <c r="D213" s="115">
        <f t="shared" si="45"/>
        <v>213</v>
      </c>
      <c r="E213" s="116" t="s">
        <v>241</v>
      </c>
      <c r="F213" s="121">
        <f>D21</f>
        <v>21</v>
      </c>
      <c r="G213" s="118"/>
      <c r="H213" s="118"/>
      <c r="I213" s="117"/>
      <c r="J213" s="117"/>
      <c r="K213" s="131"/>
      <c r="L213" s="131"/>
      <c r="M213" s="132"/>
      <c r="N213" s="117"/>
      <c r="O213" s="133"/>
      <c r="P213" s="117"/>
      <c r="Q213" s="163"/>
      <c r="R213" s="161"/>
      <c r="S213" s="163"/>
      <c r="T213" s="162"/>
    </row>
    <row r="214" spans="3:20" ht="20.25" customHeight="1">
      <c r="C214" s="109"/>
      <c r="D214" s="115">
        <f t="shared" si="45"/>
        <v>214</v>
      </c>
      <c r="E214" s="119" t="s">
        <v>242</v>
      </c>
      <c r="F214" s="121">
        <f t="shared" si="36"/>
        <v>213</v>
      </c>
      <c r="G214" s="118"/>
      <c r="H214" s="118"/>
      <c r="I214" s="117"/>
      <c r="J214" s="117"/>
      <c r="K214" s="131">
        <v>1</v>
      </c>
      <c r="L214" s="131" t="s">
        <v>81</v>
      </c>
      <c r="M214" s="155">
        <f t="shared" ref="M214:M217" si="48">K214</f>
        <v>1</v>
      </c>
      <c r="N214" s="117" t="s">
        <v>84</v>
      </c>
      <c r="O214" s="133">
        <v>4</v>
      </c>
      <c r="P214" s="117" t="s">
        <v>41</v>
      </c>
      <c r="Q214" s="163">
        <f t="shared" si="34"/>
        <v>4</v>
      </c>
      <c r="R214" s="161"/>
      <c r="S214" s="163">
        <f t="shared" si="35"/>
        <v>4</v>
      </c>
      <c r="T214" s="162" t="s">
        <v>48</v>
      </c>
    </row>
    <row r="215" spans="3:20" ht="20.25" customHeight="1">
      <c r="C215" s="109"/>
      <c r="D215" s="115">
        <f t="shared" si="45"/>
        <v>215</v>
      </c>
      <c r="E215" s="119" t="s">
        <v>243</v>
      </c>
      <c r="F215" s="121">
        <f t="shared" si="36"/>
        <v>214</v>
      </c>
      <c r="G215" s="118" t="s">
        <v>44</v>
      </c>
      <c r="H215" s="118"/>
      <c r="I215" s="117"/>
      <c r="J215" s="117"/>
      <c r="K215" s="131">
        <v>414</v>
      </c>
      <c r="L215" s="131" t="s">
        <v>81</v>
      </c>
      <c r="M215" s="132">
        <f t="shared" si="48"/>
        <v>414</v>
      </c>
      <c r="N215" s="117" t="s">
        <v>236</v>
      </c>
      <c r="O215" s="133">
        <v>0.1</v>
      </c>
      <c r="P215" s="117" t="s">
        <v>162</v>
      </c>
      <c r="Q215" s="163">
        <f t="shared" si="34"/>
        <v>41.400000000000006</v>
      </c>
      <c r="R215" s="161"/>
      <c r="S215" s="163">
        <f t="shared" si="35"/>
        <v>41.400000000000006</v>
      </c>
      <c r="T215" s="162" t="s">
        <v>48</v>
      </c>
    </row>
    <row r="216" spans="3:20" ht="20.25" customHeight="1">
      <c r="C216" s="109"/>
      <c r="D216" s="115">
        <f t="shared" si="45"/>
        <v>216</v>
      </c>
      <c r="E216" s="119" t="s">
        <v>244</v>
      </c>
      <c r="F216" s="121">
        <f t="shared" si="36"/>
        <v>215</v>
      </c>
      <c r="G216" s="118" t="s">
        <v>238</v>
      </c>
      <c r="H216" s="118"/>
      <c r="I216" s="117"/>
      <c r="J216" s="117"/>
      <c r="K216" s="131">
        <v>414</v>
      </c>
      <c r="L216" s="131" t="s">
        <v>81</v>
      </c>
      <c r="M216" s="132">
        <f t="shared" si="48"/>
        <v>414</v>
      </c>
      <c r="N216" s="117" t="s">
        <v>236</v>
      </c>
      <c r="O216" s="133">
        <v>0.1</v>
      </c>
      <c r="P216" s="117" t="s">
        <v>162</v>
      </c>
      <c r="Q216" s="163">
        <f t="shared" si="34"/>
        <v>41.400000000000006</v>
      </c>
      <c r="R216" s="161"/>
      <c r="S216" s="163">
        <f t="shared" si="35"/>
        <v>41.400000000000006</v>
      </c>
      <c r="T216" s="162" t="s">
        <v>48</v>
      </c>
    </row>
    <row r="217" spans="3:20" ht="20.25" customHeight="1">
      <c r="C217" s="109"/>
      <c r="D217" s="115">
        <f t="shared" si="45"/>
        <v>217</v>
      </c>
      <c r="E217" s="119" t="s">
        <v>245</v>
      </c>
      <c r="F217" s="121">
        <f t="shared" si="36"/>
        <v>216</v>
      </c>
      <c r="G217" s="118" t="s">
        <v>217</v>
      </c>
      <c r="H217" s="118"/>
      <c r="I217" s="117"/>
      <c r="J217" s="117"/>
      <c r="K217" s="131">
        <v>414</v>
      </c>
      <c r="L217" s="131" t="s">
        <v>81</v>
      </c>
      <c r="M217" s="132">
        <f t="shared" si="48"/>
        <v>414</v>
      </c>
      <c r="N217" s="117" t="s">
        <v>81</v>
      </c>
      <c r="O217" s="175">
        <f>1/60</f>
        <v>1.6666666666666666E-2</v>
      </c>
      <c r="P217" s="117" t="s">
        <v>162</v>
      </c>
      <c r="Q217" s="163">
        <f t="shared" si="34"/>
        <v>6.8999999999999995</v>
      </c>
      <c r="R217" s="161"/>
      <c r="S217" s="163">
        <f t="shared" si="35"/>
        <v>6.8999999999999995</v>
      </c>
      <c r="T217" s="162" t="s">
        <v>48</v>
      </c>
    </row>
    <row r="218" spans="3:20" ht="20.25" customHeight="1">
      <c r="C218" s="109">
        <f>D218</f>
        <v>218</v>
      </c>
      <c r="D218" s="115">
        <f t="shared" si="45"/>
        <v>218</v>
      </c>
      <c r="E218" s="116" t="s">
        <v>246</v>
      </c>
      <c r="F218" s="121">
        <f>D16</f>
        <v>16</v>
      </c>
      <c r="G218" s="118"/>
      <c r="H218" s="118"/>
      <c r="I218" s="117"/>
      <c r="J218" s="117"/>
      <c r="K218" s="131"/>
      <c r="L218" s="131"/>
      <c r="M218" s="132"/>
      <c r="N218" s="117"/>
      <c r="O218" s="133"/>
      <c r="P218" s="117"/>
      <c r="Q218" s="163"/>
      <c r="R218" s="161"/>
      <c r="S218" s="163"/>
      <c r="T218" s="162"/>
    </row>
    <row r="219" spans="3:20" ht="20.25" customHeight="1">
      <c r="C219" s="109"/>
      <c r="D219" s="115">
        <f t="shared" si="45"/>
        <v>219</v>
      </c>
      <c r="E219" s="119" t="s">
        <v>247</v>
      </c>
      <c r="F219" s="121">
        <f t="shared" si="36"/>
        <v>218</v>
      </c>
      <c r="G219" s="118" t="s">
        <v>44</v>
      </c>
      <c r="H219" s="118"/>
      <c r="I219" s="117">
        <v>8</v>
      </c>
      <c r="J219" s="117" t="s">
        <v>248</v>
      </c>
      <c r="K219" s="131">
        <v>2</v>
      </c>
      <c r="L219" s="131" t="s">
        <v>81</v>
      </c>
      <c r="M219" s="141">
        <f>LEFT(J219,SEARCH(" ",J219,1)-1)*K219*0.001</f>
        <v>19.044</v>
      </c>
      <c r="N219" s="117" t="s">
        <v>249</v>
      </c>
      <c r="O219" s="175">
        <f>VLOOKUP(I219,BM!$A$2:$X$104,2,FALSE)</f>
        <v>0.1</v>
      </c>
      <c r="P219" s="117" t="s">
        <v>162</v>
      </c>
      <c r="Q219" s="163">
        <f t="shared" si="34"/>
        <v>1.9044000000000001</v>
      </c>
      <c r="R219" s="161"/>
      <c r="S219" s="163">
        <f t="shared" si="35"/>
        <v>1.9044000000000001</v>
      </c>
      <c r="T219" s="162" t="s">
        <v>48</v>
      </c>
    </row>
    <row r="220" spans="3:20" ht="20.25" customHeight="1">
      <c r="C220" s="109"/>
      <c r="D220" s="115">
        <f t="shared" si="45"/>
        <v>220</v>
      </c>
      <c r="E220" s="119" t="s">
        <v>250</v>
      </c>
      <c r="F220" s="121">
        <f t="shared" si="36"/>
        <v>219</v>
      </c>
      <c r="G220" s="118" t="s">
        <v>52</v>
      </c>
      <c r="H220" s="118"/>
      <c r="I220" s="117">
        <v>25</v>
      </c>
      <c r="J220" s="117" t="str">
        <f t="shared" ref="J220:J224" si="49">J219</f>
        <v>9522 mm</v>
      </c>
      <c r="K220" s="131">
        <v>2</v>
      </c>
      <c r="L220" s="131" t="s">
        <v>81</v>
      </c>
      <c r="M220" s="141">
        <f>LEFT(J220,SEARCH(" ",J220,1)-1)*K220*0.001</f>
        <v>19.044</v>
      </c>
      <c r="N220" s="117" t="s">
        <v>249</v>
      </c>
      <c r="O220" s="175">
        <f>VLOOKUP(I220,BM!$A$2:$X$104,3,FALSE)</f>
        <v>0.25</v>
      </c>
      <c r="P220" s="117" t="s">
        <v>162</v>
      </c>
      <c r="Q220" s="163">
        <f t="shared" ref="Q220:Q282" si="50">M220*O220</f>
        <v>4.7610000000000001</v>
      </c>
      <c r="R220" s="161"/>
      <c r="S220" s="163">
        <f t="shared" ref="S220:S282" si="51">Q220+R220</f>
        <v>4.7610000000000001</v>
      </c>
      <c r="T220" s="162" t="s">
        <v>48</v>
      </c>
    </row>
    <row r="221" spans="3:20" ht="20.25" customHeight="1">
      <c r="C221" s="109"/>
      <c r="D221" s="115">
        <f t="shared" si="45"/>
        <v>221</v>
      </c>
      <c r="E221" s="119" t="s">
        <v>251</v>
      </c>
      <c r="F221" s="121">
        <f t="shared" ref="F221:F284" si="52">D220</f>
        <v>220</v>
      </c>
      <c r="G221" s="118" t="s">
        <v>201</v>
      </c>
      <c r="H221" s="118"/>
      <c r="I221" s="117">
        <v>25</v>
      </c>
      <c r="J221" s="117" t="str">
        <f t="shared" si="49"/>
        <v>9522 mm</v>
      </c>
      <c r="K221" s="131">
        <v>2</v>
      </c>
      <c r="L221" s="131" t="s">
        <v>81</v>
      </c>
      <c r="M221" s="155">
        <f>K221</f>
        <v>2</v>
      </c>
      <c r="N221" s="117" t="s">
        <v>81</v>
      </c>
      <c r="O221" s="133">
        <v>2</v>
      </c>
      <c r="P221" s="117" t="s">
        <v>162</v>
      </c>
      <c r="Q221" s="163">
        <f t="shared" si="50"/>
        <v>4</v>
      </c>
      <c r="R221" s="161"/>
      <c r="S221" s="163">
        <f t="shared" si="51"/>
        <v>4</v>
      </c>
      <c r="T221" s="162" t="s">
        <v>48</v>
      </c>
    </row>
    <row r="222" spans="3:20" ht="20.25" customHeight="1">
      <c r="C222" s="109"/>
      <c r="D222" s="115">
        <f t="shared" si="45"/>
        <v>222</v>
      </c>
      <c r="E222" s="119" t="s">
        <v>252</v>
      </c>
      <c r="F222" s="121">
        <f t="shared" si="52"/>
        <v>221</v>
      </c>
      <c r="G222" s="118" t="s">
        <v>61</v>
      </c>
      <c r="H222" s="118"/>
      <c r="I222" s="117">
        <v>25</v>
      </c>
      <c r="J222" s="117" t="str">
        <f t="shared" si="49"/>
        <v>9522 mm</v>
      </c>
      <c r="K222" s="131">
        <v>2</v>
      </c>
      <c r="L222" s="131" t="s">
        <v>81</v>
      </c>
      <c r="M222" s="132">
        <v>4</v>
      </c>
      <c r="N222" s="117" t="s">
        <v>81</v>
      </c>
      <c r="O222" s="133">
        <v>4</v>
      </c>
      <c r="P222" s="117" t="s">
        <v>162</v>
      </c>
      <c r="Q222" s="163">
        <f t="shared" si="50"/>
        <v>16</v>
      </c>
      <c r="R222" s="161"/>
      <c r="S222" s="163">
        <f t="shared" si="51"/>
        <v>16</v>
      </c>
      <c r="T222" s="162" t="s">
        <v>48</v>
      </c>
    </row>
    <row r="223" spans="3:20" ht="20.25" customHeight="1">
      <c r="C223" s="109"/>
      <c r="D223" s="115">
        <f t="shared" si="45"/>
        <v>223</v>
      </c>
      <c r="E223" s="119" t="s">
        <v>253</v>
      </c>
      <c r="F223" s="121">
        <f t="shared" si="52"/>
        <v>222</v>
      </c>
      <c r="G223" s="118" t="s">
        <v>240</v>
      </c>
      <c r="H223" s="118"/>
      <c r="I223" s="117">
        <v>25</v>
      </c>
      <c r="J223" s="117" t="str">
        <f t="shared" si="49"/>
        <v>9522 mm</v>
      </c>
      <c r="K223" s="131">
        <v>2</v>
      </c>
      <c r="L223" s="131" t="s">
        <v>81</v>
      </c>
      <c r="M223" s="132">
        <v>4</v>
      </c>
      <c r="N223" s="117" t="s">
        <v>81</v>
      </c>
      <c r="O223" s="133">
        <v>1</v>
      </c>
      <c r="P223" s="117" t="s">
        <v>162</v>
      </c>
      <c r="Q223" s="163">
        <f t="shared" si="50"/>
        <v>4</v>
      </c>
      <c r="R223" s="161"/>
      <c r="S223" s="163">
        <f t="shared" si="51"/>
        <v>4</v>
      </c>
      <c r="T223" s="162" t="s">
        <v>48</v>
      </c>
    </row>
    <row r="224" spans="3:20" ht="20.25" customHeight="1">
      <c r="C224" s="109"/>
      <c r="D224" s="115">
        <f t="shared" si="45"/>
        <v>224</v>
      </c>
      <c r="E224" s="119" t="s">
        <v>254</v>
      </c>
      <c r="F224" s="121">
        <f t="shared" si="52"/>
        <v>223</v>
      </c>
      <c r="G224" s="118" t="s">
        <v>61</v>
      </c>
      <c r="H224" s="118"/>
      <c r="I224" s="117">
        <v>25</v>
      </c>
      <c r="J224" s="117" t="str">
        <f t="shared" si="49"/>
        <v>9522 mm</v>
      </c>
      <c r="K224" s="131">
        <v>2</v>
      </c>
      <c r="L224" s="131" t="s">
        <v>81</v>
      </c>
      <c r="M224" s="132">
        <v>4</v>
      </c>
      <c r="N224" s="117" t="s">
        <v>81</v>
      </c>
      <c r="O224" s="133">
        <v>1</v>
      </c>
      <c r="P224" s="117" t="s">
        <v>162</v>
      </c>
      <c r="Q224" s="163">
        <f t="shared" si="50"/>
        <v>4</v>
      </c>
      <c r="R224" s="161"/>
      <c r="S224" s="163">
        <f t="shared" si="51"/>
        <v>4</v>
      </c>
      <c r="T224" s="162" t="s">
        <v>48</v>
      </c>
    </row>
    <row r="225" spans="3:20" ht="20.25" customHeight="1">
      <c r="C225" s="109">
        <f>D225</f>
        <v>225</v>
      </c>
      <c r="D225" s="115">
        <f t="shared" si="45"/>
        <v>225</v>
      </c>
      <c r="E225" s="116" t="s">
        <v>255</v>
      </c>
      <c r="F225" s="121">
        <f>D17</f>
        <v>17</v>
      </c>
      <c r="G225" s="118"/>
      <c r="H225" s="118"/>
      <c r="I225" s="117"/>
      <c r="J225" s="117"/>
      <c r="K225" s="131"/>
      <c r="L225" s="131"/>
      <c r="M225" s="132"/>
      <c r="N225" s="117"/>
      <c r="O225" s="133"/>
      <c r="P225" s="117"/>
      <c r="Q225" s="163"/>
      <c r="R225" s="161"/>
      <c r="S225" s="163"/>
      <c r="T225" s="162"/>
    </row>
    <row r="226" spans="3:20" ht="20.25" customHeight="1">
      <c r="C226" s="109"/>
      <c r="D226" s="115">
        <f t="shared" si="45"/>
        <v>226</v>
      </c>
      <c r="E226" s="119" t="s">
        <v>256</v>
      </c>
      <c r="F226" s="121">
        <f t="shared" si="52"/>
        <v>225</v>
      </c>
      <c r="G226" s="118" t="s">
        <v>44</v>
      </c>
      <c r="H226" s="118"/>
      <c r="I226" s="117">
        <v>8</v>
      </c>
      <c r="J226" s="117" t="s">
        <v>257</v>
      </c>
      <c r="K226" s="131">
        <v>2</v>
      </c>
      <c r="L226" s="131" t="s">
        <v>81</v>
      </c>
      <c r="M226" s="141">
        <f>LEFT(J226,SEARCH(" ",J226,1)-1)*K226*0.001</f>
        <v>26.731999999999999</v>
      </c>
      <c r="N226" s="117" t="s">
        <v>249</v>
      </c>
      <c r="O226" s="175">
        <f>VLOOKUP(I226,BM!$A$2:$X$104,2,FALSE)</f>
        <v>0.1</v>
      </c>
      <c r="P226" s="117" t="s">
        <v>162</v>
      </c>
      <c r="Q226" s="163">
        <f t="shared" si="50"/>
        <v>2.6732</v>
      </c>
      <c r="R226" s="161"/>
      <c r="S226" s="163">
        <f t="shared" si="51"/>
        <v>2.6732</v>
      </c>
      <c r="T226" s="162" t="s">
        <v>48</v>
      </c>
    </row>
    <row r="227" spans="3:20" ht="20.25" customHeight="1">
      <c r="C227" s="109"/>
      <c r="D227" s="115">
        <f t="shared" si="45"/>
        <v>227</v>
      </c>
      <c r="E227" s="119" t="s">
        <v>258</v>
      </c>
      <c r="F227" s="121">
        <f t="shared" si="52"/>
        <v>226</v>
      </c>
      <c r="G227" s="118" t="s">
        <v>52</v>
      </c>
      <c r="H227" s="118"/>
      <c r="I227" s="121">
        <f t="shared" ref="I227:K231" si="53">I226</f>
        <v>8</v>
      </c>
      <c r="J227" s="121" t="str">
        <f t="shared" si="53"/>
        <v>13366 mm</v>
      </c>
      <c r="K227" s="177">
        <f t="shared" si="53"/>
        <v>2</v>
      </c>
      <c r="L227" s="131" t="s">
        <v>81</v>
      </c>
      <c r="M227" s="141">
        <f>LEFT(J227,SEARCH(" ",J227,1)-1)*K227*0.001</f>
        <v>26.731999999999999</v>
      </c>
      <c r="N227" s="117" t="s">
        <v>249</v>
      </c>
      <c r="O227" s="175">
        <f>VLOOKUP(I227,BM!$A$2:$X$104,3,FALSE)</f>
        <v>0.25</v>
      </c>
      <c r="P227" s="117" t="s">
        <v>162</v>
      </c>
      <c r="Q227" s="163">
        <f t="shared" si="50"/>
        <v>6.6829999999999998</v>
      </c>
      <c r="R227" s="161"/>
      <c r="S227" s="163">
        <f t="shared" si="51"/>
        <v>6.6829999999999998</v>
      </c>
      <c r="T227" s="162" t="s">
        <v>48</v>
      </c>
    </row>
    <row r="228" spans="3:20" ht="20.25" customHeight="1">
      <c r="C228" s="109"/>
      <c r="D228" s="115">
        <f t="shared" si="45"/>
        <v>228</v>
      </c>
      <c r="E228" s="119" t="s">
        <v>259</v>
      </c>
      <c r="F228" s="121">
        <f t="shared" si="52"/>
        <v>227</v>
      </c>
      <c r="G228" s="118" t="s">
        <v>201</v>
      </c>
      <c r="H228" s="118"/>
      <c r="I228" s="121">
        <f t="shared" si="53"/>
        <v>8</v>
      </c>
      <c r="J228" s="121" t="str">
        <f t="shared" si="53"/>
        <v>13366 mm</v>
      </c>
      <c r="K228" s="177">
        <f t="shared" si="53"/>
        <v>2</v>
      </c>
      <c r="L228" s="131" t="s">
        <v>81</v>
      </c>
      <c r="M228" s="155">
        <f>K228</f>
        <v>2</v>
      </c>
      <c r="N228" s="117" t="s">
        <v>81</v>
      </c>
      <c r="O228" s="133">
        <v>2</v>
      </c>
      <c r="P228" s="117" t="s">
        <v>162</v>
      </c>
      <c r="Q228" s="163">
        <f t="shared" si="50"/>
        <v>4</v>
      </c>
      <c r="R228" s="161"/>
      <c r="S228" s="163">
        <f t="shared" si="51"/>
        <v>4</v>
      </c>
      <c r="T228" s="162" t="s">
        <v>48</v>
      </c>
    </row>
    <row r="229" spans="3:20" ht="20.25" customHeight="1">
      <c r="C229" s="109"/>
      <c r="D229" s="115">
        <f t="shared" si="45"/>
        <v>229</v>
      </c>
      <c r="E229" s="119" t="s">
        <v>260</v>
      </c>
      <c r="F229" s="121">
        <f t="shared" si="52"/>
        <v>228</v>
      </c>
      <c r="G229" s="118" t="s">
        <v>61</v>
      </c>
      <c r="H229" s="118"/>
      <c r="I229" s="121">
        <f t="shared" si="53"/>
        <v>8</v>
      </c>
      <c r="J229" s="121" t="str">
        <f t="shared" si="53"/>
        <v>13366 mm</v>
      </c>
      <c r="K229" s="177">
        <f t="shared" si="53"/>
        <v>2</v>
      </c>
      <c r="L229" s="131" t="s">
        <v>81</v>
      </c>
      <c r="M229" s="132">
        <v>4</v>
      </c>
      <c r="N229" s="117" t="s">
        <v>81</v>
      </c>
      <c r="O229" s="133">
        <v>4</v>
      </c>
      <c r="P229" s="117" t="s">
        <v>162</v>
      </c>
      <c r="Q229" s="163">
        <f t="shared" si="50"/>
        <v>16</v>
      </c>
      <c r="R229" s="161"/>
      <c r="S229" s="163">
        <f t="shared" si="51"/>
        <v>16</v>
      </c>
      <c r="T229" s="162" t="s">
        <v>48</v>
      </c>
    </row>
    <row r="230" spans="3:20" ht="20.25" customHeight="1">
      <c r="C230" s="109"/>
      <c r="D230" s="115">
        <f t="shared" si="45"/>
        <v>230</v>
      </c>
      <c r="E230" s="119" t="s">
        <v>261</v>
      </c>
      <c r="F230" s="121">
        <f t="shared" si="52"/>
        <v>229</v>
      </c>
      <c r="G230" s="118" t="s">
        <v>240</v>
      </c>
      <c r="H230" s="118"/>
      <c r="I230" s="121">
        <f t="shared" si="53"/>
        <v>8</v>
      </c>
      <c r="J230" s="121" t="str">
        <f t="shared" si="53"/>
        <v>13366 mm</v>
      </c>
      <c r="K230" s="177">
        <f t="shared" si="53"/>
        <v>2</v>
      </c>
      <c r="L230" s="131" t="s">
        <v>81</v>
      </c>
      <c r="M230" s="132">
        <v>4</v>
      </c>
      <c r="N230" s="117" t="s">
        <v>81</v>
      </c>
      <c r="O230" s="133">
        <v>1</v>
      </c>
      <c r="P230" s="117" t="s">
        <v>162</v>
      </c>
      <c r="Q230" s="163">
        <f t="shared" si="50"/>
        <v>4</v>
      </c>
      <c r="R230" s="161"/>
      <c r="S230" s="163">
        <f t="shared" si="51"/>
        <v>4</v>
      </c>
      <c r="T230" s="162" t="s">
        <v>48</v>
      </c>
    </row>
    <row r="231" spans="3:20" ht="20.25" customHeight="1">
      <c r="C231" s="109"/>
      <c r="D231" s="115">
        <f t="shared" si="45"/>
        <v>231</v>
      </c>
      <c r="E231" s="119" t="s">
        <v>262</v>
      </c>
      <c r="F231" s="121">
        <f t="shared" si="52"/>
        <v>230</v>
      </c>
      <c r="G231" s="118" t="s">
        <v>61</v>
      </c>
      <c r="H231" s="118"/>
      <c r="I231" s="121">
        <f t="shared" si="53"/>
        <v>8</v>
      </c>
      <c r="J231" s="121" t="str">
        <f t="shared" si="53"/>
        <v>13366 mm</v>
      </c>
      <c r="K231" s="177">
        <f t="shared" si="53"/>
        <v>2</v>
      </c>
      <c r="L231" s="131" t="s">
        <v>81</v>
      </c>
      <c r="M231" s="132">
        <v>4</v>
      </c>
      <c r="N231" s="117" t="s">
        <v>81</v>
      </c>
      <c r="O231" s="133">
        <v>1</v>
      </c>
      <c r="P231" s="117" t="s">
        <v>162</v>
      </c>
      <c r="Q231" s="163">
        <f t="shared" si="50"/>
        <v>4</v>
      </c>
      <c r="R231" s="161"/>
      <c r="S231" s="163">
        <f t="shared" si="51"/>
        <v>4</v>
      </c>
      <c r="T231" s="162" t="s">
        <v>48</v>
      </c>
    </row>
    <row r="232" spans="3:20" ht="20.25" customHeight="1">
      <c r="C232" s="109">
        <f>D232</f>
        <v>232</v>
      </c>
      <c r="D232" s="115">
        <f t="shared" si="45"/>
        <v>232</v>
      </c>
      <c r="E232" s="116" t="s">
        <v>263</v>
      </c>
      <c r="F232" s="121">
        <f>D18</f>
        <v>18</v>
      </c>
      <c r="G232" s="118"/>
      <c r="H232" s="118"/>
      <c r="I232" s="117"/>
      <c r="J232" s="117"/>
      <c r="K232" s="131"/>
      <c r="L232" s="131"/>
      <c r="M232" s="132"/>
      <c r="N232" s="117"/>
      <c r="O232" s="133"/>
      <c r="P232" s="117"/>
      <c r="Q232" s="163"/>
      <c r="R232" s="161"/>
      <c r="S232" s="163"/>
      <c r="T232" s="162"/>
    </row>
    <row r="233" spans="3:20" ht="20.25" customHeight="1">
      <c r="C233" s="109"/>
      <c r="D233" s="115">
        <f t="shared" si="45"/>
        <v>233</v>
      </c>
      <c r="E233" s="119" t="s">
        <v>264</v>
      </c>
      <c r="F233" s="121">
        <f t="shared" si="52"/>
        <v>232</v>
      </c>
      <c r="G233" s="118" t="s">
        <v>37</v>
      </c>
      <c r="H233" s="118"/>
      <c r="I233" s="117"/>
      <c r="J233" s="117"/>
      <c r="K233" s="131">
        <v>1</v>
      </c>
      <c r="L233" s="131" t="s">
        <v>84</v>
      </c>
      <c r="M233" s="132">
        <v>1</v>
      </c>
      <c r="N233" s="117"/>
      <c r="O233" s="133">
        <v>4</v>
      </c>
      <c r="P233" s="117" t="s">
        <v>41</v>
      </c>
      <c r="Q233" s="163">
        <f t="shared" si="50"/>
        <v>4</v>
      </c>
      <c r="R233" s="161"/>
      <c r="S233" s="163">
        <f t="shared" si="51"/>
        <v>4</v>
      </c>
      <c r="T233" s="162" t="s">
        <v>42</v>
      </c>
    </row>
    <row r="234" spans="3:20" ht="20.25" customHeight="1">
      <c r="C234" s="109"/>
      <c r="D234" s="115">
        <f t="shared" si="45"/>
        <v>234</v>
      </c>
      <c r="E234" s="119" t="s">
        <v>265</v>
      </c>
      <c r="F234" s="121">
        <f t="shared" si="52"/>
        <v>233</v>
      </c>
      <c r="G234" s="118" t="s">
        <v>44</v>
      </c>
      <c r="H234" s="118"/>
      <c r="I234" s="117" t="s">
        <v>266</v>
      </c>
      <c r="J234" s="121">
        <v>14</v>
      </c>
      <c r="K234" s="131">
        <v>14</v>
      </c>
      <c r="L234" s="131" t="s">
        <v>81</v>
      </c>
      <c r="M234" s="155">
        <f>K234</f>
        <v>14</v>
      </c>
      <c r="N234" s="117" t="s">
        <v>81</v>
      </c>
      <c r="O234" s="133">
        <v>0.25</v>
      </c>
      <c r="P234" s="117" t="s">
        <v>162</v>
      </c>
      <c r="Q234" s="163">
        <f t="shared" si="50"/>
        <v>3.5</v>
      </c>
      <c r="R234" s="161"/>
      <c r="S234" s="163">
        <f t="shared" si="51"/>
        <v>3.5</v>
      </c>
      <c r="T234" s="162" t="s">
        <v>48</v>
      </c>
    </row>
    <row r="235" spans="3:20" ht="20.25" customHeight="1">
      <c r="C235" s="109"/>
      <c r="D235" s="115">
        <f t="shared" si="45"/>
        <v>235</v>
      </c>
      <c r="E235" s="119" t="s">
        <v>267</v>
      </c>
      <c r="F235" s="121">
        <f t="shared" si="52"/>
        <v>234</v>
      </c>
      <c r="G235" s="118" t="s">
        <v>44</v>
      </c>
      <c r="H235" s="118"/>
      <c r="I235" s="121" t="str">
        <f t="shared" ref="I235:K236" si="54">I234</f>
        <v>25.4 dia</v>
      </c>
      <c r="J235" s="121">
        <f t="shared" si="54"/>
        <v>14</v>
      </c>
      <c r="K235" s="177">
        <f t="shared" si="54"/>
        <v>14</v>
      </c>
      <c r="L235" s="131" t="s">
        <v>81</v>
      </c>
      <c r="M235" s="155">
        <f>K235</f>
        <v>14</v>
      </c>
      <c r="N235" s="117" t="s">
        <v>81</v>
      </c>
      <c r="O235" s="133">
        <v>0.5</v>
      </c>
      <c r="P235" s="117" t="s">
        <v>162</v>
      </c>
      <c r="Q235" s="163">
        <f t="shared" si="50"/>
        <v>7</v>
      </c>
      <c r="R235" s="161"/>
      <c r="S235" s="163">
        <f t="shared" si="51"/>
        <v>7</v>
      </c>
      <c r="T235" s="162" t="s">
        <v>48</v>
      </c>
    </row>
    <row r="236" spans="3:20" ht="20.25" customHeight="1">
      <c r="C236" s="109"/>
      <c r="D236" s="115">
        <f t="shared" si="45"/>
        <v>236</v>
      </c>
      <c r="E236" s="119" t="s">
        <v>268</v>
      </c>
      <c r="F236" s="121">
        <f t="shared" si="52"/>
        <v>235</v>
      </c>
      <c r="G236" s="118" t="s">
        <v>201</v>
      </c>
      <c r="H236" s="118"/>
      <c r="I236" s="121" t="str">
        <f t="shared" si="54"/>
        <v>25.4 dia</v>
      </c>
      <c r="J236" s="121">
        <f t="shared" si="54"/>
        <v>14</v>
      </c>
      <c r="K236" s="177">
        <f t="shared" si="54"/>
        <v>14</v>
      </c>
      <c r="L236" s="131" t="s">
        <v>81</v>
      </c>
      <c r="M236" s="155">
        <f>K236</f>
        <v>14</v>
      </c>
      <c r="N236" s="117" t="s">
        <v>81</v>
      </c>
      <c r="O236" s="133">
        <v>1</v>
      </c>
      <c r="P236" s="117" t="s">
        <v>162</v>
      </c>
      <c r="Q236" s="163">
        <f t="shared" si="50"/>
        <v>14</v>
      </c>
      <c r="R236" s="161"/>
      <c r="S236" s="163">
        <f t="shared" si="51"/>
        <v>14</v>
      </c>
      <c r="T236" s="162" t="s">
        <v>48</v>
      </c>
    </row>
    <row r="237" spans="3:20" ht="20.25" customHeight="1">
      <c r="C237" s="109">
        <f t="shared" ref="C237:C238" si="55">D237</f>
        <v>237</v>
      </c>
      <c r="D237" s="115">
        <f t="shared" si="45"/>
        <v>237</v>
      </c>
      <c r="E237" s="178" t="s">
        <v>269</v>
      </c>
      <c r="F237" s="121">
        <f t="shared" si="52"/>
        <v>236</v>
      </c>
      <c r="G237" s="118"/>
      <c r="H237" s="118"/>
      <c r="I237" s="117"/>
      <c r="J237" s="117"/>
      <c r="K237" s="131"/>
      <c r="L237" s="131"/>
      <c r="M237" s="132"/>
      <c r="N237" s="117"/>
      <c r="O237" s="133"/>
      <c r="P237" s="117"/>
      <c r="Q237" s="163"/>
      <c r="R237" s="161"/>
      <c r="S237" s="163"/>
      <c r="T237" s="162"/>
    </row>
    <row r="238" spans="3:20" ht="20.25" customHeight="1">
      <c r="C238" s="109">
        <f t="shared" si="55"/>
        <v>238</v>
      </c>
      <c r="D238" s="115">
        <f t="shared" si="45"/>
        <v>238</v>
      </c>
      <c r="E238" s="116" t="s">
        <v>751</v>
      </c>
      <c r="F238" s="121">
        <f>D3</f>
        <v>3</v>
      </c>
      <c r="G238" s="118"/>
      <c r="H238" s="118"/>
      <c r="I238" s="117"/>
      <c r="J238" s="117"/>
      <c r="K238" s="131"/>
      <c r="L238" s="131"/>
      <c r="M238" s="132"/>
      <c r="N238" s="117"/>
      <c r="O238" s="133"/>
      <c r="P238" s="117"/>
      <c r="Q238" s="163"/>
      <c r="R238" s="161"/>
      <c r="S238" s="163"/>
      <c r="T238" s="162"/>
    </row>
    <row r="239" spans="3:20" ht="20.25" customHeight="1">
      <c r="C239" s="109"/>
      <c r="D239" s="115">
        <f t="shared" si="45"/>
        <v>239</v>
      </c>
      <c r="E239" s="119" t="s">
        <v>271</v>
      </c>
      <c r="F239" s="121">
        <f t="shared" si="52"/>
        <v>238</v>
      </c>
      <c r="G239" s="118" t="s">
        <v>37</v>
      </c>
      <c r="H239" s="118"/>
      <c r="I239" s="117"/>
      <c r="J239" s="117"/>
      <c r="K239" s="131">
        <v>1</v>
      </c>
      <c r="L239" s="131" t="s">
        <v>84</v>
      </c>
      <c r="M239" s="132">
        <v>1</v>
      </c>
      <c r="N239" s="117"/>
      <c r="O239" s="133">
        <v>4</v>
      </c>
      <c r="P239" s="117" t="s">
        <v>41</v>
      </c>
      <c r="Q239" s="163">
        <f t="shared" si="50"/>
        <v>4</v>
      </c>
      <c r="R239" s="161"/>
      <c r="S239" s="163">
        <f t="shared" si="51"/>
        <v>4</v>
      </c>
      <c r="T239" s="162" t="s">
        <v>41</v>
      </c>
    </row>
    <row r="240" spans="3:20" ht="20.25" customHeight="1">
      <c r="C240" s="109"/>
      <c r="D240" s="115">
        <f t="shared" si="45"/>
        <v>240</v>
      </c>
      <c r="E240" s="119" t="s">
        <v>272</v>
      </c>
      <c r="F240" s="121">
        <f t="shared" si="52"/>
        <v>239</v>
      </c>
      <c r="G240" s="118" t="s">
        <v>201</v>
      </c>
      <c r="H240" s="118"/>
      <c r="I240" s="117">
        <v>18</v>
      </c>
      <c r="J240" s="121" t="s">
        <v>273</v>
      </c>
      <c r="K240" s="131">
        <v>1</v>
      </c>
      <c r="L240" s="131" t="s">
        <v>81</v>
      </c>
      <c r="M240" s="141">
        <f>LEFT(J240,SEARCH(" ",J240,1)-1)*K240*0.001</f>
        <v>43</v>
      </c>
      <c r="N240" s="117" t="s">
        <v>139</v>
      </c>
      <c r="O240" s="175">
        <f>VLOOKUP(I240,BM!$A$2:$X$104,2,FALSE)</f>
        <v>0.1</v>
      </c>
      <c r="P240" s="117" t="s">
        <v>112</v>
      </c>
      <c r="Q240" s="163">
        <f t="shared" si="50"/>
        <v>4.3</v>
      </c>
      <c r="R240" s="161">
        <v>1</v>
      </c>
      <c r="S240" s="163">
        <f t="shared" si="51"/>
        <v>5.3</v>
      </c>
      <c r="T240" s="162" t="s">
        <v>48</v>
      </c>
    </row>
    <row r="241" spans="3:20" ht="20.25" customHeight="1">
      <c r="C241" s="109">
        <f>D241</f>
        <v>241</v>
      </c>
      <c r="D241" s="115">
        <f t="shared" si="45"/>
        <v>241</v>
      </c>
      <c r="E241" s="116" t="s">
        <v>752</v>
      </c>
      <c r="F241" s="121">
        <f>D238</f>
        <v>238</v>
      </c>
      <c r="G241" s="118"/>
      <c r="H241" s="118"/>
      <c r="I241" s="117"/>
      <c r="J241" s="117"/>
      <c r="K241" s="131"/>
      <c r="L241" s="131"/>
      <c r="M241" s="132"/>
      <c r="N241" s="117"/>
      <c r="O241" s="133"/>
      <c r="P241" s="117"/>
      <c r="Q241" s="163"/>
      <c r="R241" s="161"/>
      <c r="S241" s="163"/>
      <c r="T241" s="162"/>
    </row>
    <row r="242" spans="3:20" ht="20.25" customHeight="1">
      <c r="C242" s="109"/>
      <c r="D242" s="115">
        <f t="shared" si="45"/>
        <v>242</v>
      </c>
      <c r="E242" s="119" t="s">
        <v>275</v>
      </c>
      <c r="F242" s="121">
        <f t="shared" si="52"/>
        <v>241</v>
      </c>
      <c r="G242" s="118" t="s">
        <v>276</v>
      </c>
      <c r="H242" s="118"/>
      <c r="I242" s="117">
        <v>18</v>
      </c>
      <c r="J242" s="121" t="str">
        <f>J240</f>
        <v>43000 mm</v>
      </c>
      <c r="K242" s="131">
        <v>3</v>
      </c>
      <c r="L242" s="131" t="s">
        <v>81</v>
      </c>
      <c r="M242" s="141">
        <f>LEFT(J242,SEARCH(" ",J242,1)-1)*K242*0.001</f>
        <v>129</v>
      </c>
      <c r="N242" s="117" t="s">
        <v>139</v>
      </c>
      <c r="O242" s="175">
        <f>VLOOKUP(I242,BM!$A$2:$X$104,3,FALSE)</f>
        <v>0.25</v>
      </c>
      <c r="P242" s="117" t="s">
        <v>112</v>
      </c>
      <c r="Q242" s="163">
        <f t="shared" si="50"/>
        <v>32.25</v>
      </c>
      <c r="R242" s="161">
        <v>1</v>
      </c>
      <c r="S242" s="163">
        <f t="shared" si="51"/>
        <v>33.25</v>
      </c>
      <c r="T242" s="162" t="s">
        <v>48</v>
      </c>
    </row>
    <row r="243" spans="3:20" ht="20.25" customHeight="1">
      <c r="C243" s="109">
        <f>D243</f>
        <v>243</v>
      </c>
      <c r="D243" s="115">
        <f t="shared" si="45"/>
        <v>243</v>
      </c>
      <c r="E243" s="116" t="s">
        <v>277</v>
      </c>
      <c r="F243" s="121">
        <f>D241</f>
        <v>241</v>
      </c>
      <c r="G243" s="118"/>
      <c r="H243" s="118"/>
      <c r="I243" s="117"/>
      <c r="J243" s="117"/>
      <c r="K243" s="131"/>
      <c r="L243" s="131"/>
      <c r="M243" s="132"/>
      <c r="N243" s="117"/>
      <c r="O243" s="133"/>
      <c r="P243" s="117"/>
      <c r="Q243" s="163"/>
      <c r="R243" s="161"/>
      <c r="S243" s="163"/>
      <c r="T243" s="162"/>
    </row>
    <row r="244" spans="3:20" ht="20.25" customHeight="1">
      <c r="C244" s="109"/>
      <c r="D244" s="115">
        <f t="shared" si="45"/>
        <v>244</v>
      </c>
      <c r="E244" s="119" t="s">
        <v>278</v>
      </c>
      <c r="F244" s="121">
        <f t="shared" si="52"/>
        <v>243</v>
      </c>
      <c r="G244" s="118" t="s">
        <v>224</v>
      </c>
      <c r="H244" s="118"/>
      <c r="I244" s="117">
        <v>18</v>
      </c>
      <c r="J244" s="117" t="s">
        <v>279</v>
      </c>
      <c r="K244" s="131">
        <v>1</v>
      </c>
      <c r="L244" s="131" t="s">
        <v>81</v>
      </c>
      <c r="M244" s="141">
        <f>LEFT(J244,SEARCH(" ",J244,1)-1)*K244*0.001</f>
        <v>2.5</v>
      </c>
      <c r="N244" s="117" t="s">
        <v>139</v>
      </c>
      <c r="O244" s="175">
        <f>VLOOKUP(I244,BM!$A$2:$X$104,5,FALSE)</f>
        <v>0.5</v>
      </c>
      <c r="P244" s="117" t="s">
        <v>112</v>
      </c>
      <c r="Q244" s="163">
        <f t="shared" si="50"/>
        <v>1.25</v>
      </c>
      <c r="R244" s="161">
        <v>1</v>
      </c>
      <c r="S244" s="163">
        <f t="shared" si="51"/>
        <v>2.25</v>
      </c>
      <c r="T244" s="162" t="s">
        <v>48</v>
      </c>
    </row>
    <row r="245" spans="3:20" ht="20.25" customHeight="1">
      <c r="C245" s="109"/>
      <c r="D245" s="115">
        <f t="shared" si="45"/>
        <v>245</v>
      </c>
      <c r="E245" s="119" t="s">
        <v>278</v>
      </c>
      <c r="F245" s="121">
        <f t="shared" si="52"/>
        <v>244</v>
      </c>
      <c r="G245" s="118" t="s">
        <v>224</v>
      </c>
      <c r="H245" s="118"/>
      <c r="I245" s="121">
        <f>I244</f>
        <v>18</v>
      </c>
      <c r="J245" s="121" t="s">
        <v>279</v>
      </c>
      <c r="K245" s="131">
        <v>1</v>
      </c>
      <c r="L245" s="131" t="s">
        <v>81</v>
      </c>
      <c r="M245" s="141">
        <f>LEFT(J245,SEARCH(" ",J245,1)-1)*K245*0.001</f>
        <v>2.5</v>
      </c>
      <c r="N245" s="117" t="s">
        <v>139</v>
      </c>
      <c r="O245" s="175">
        <f>VLOOKUP(I245,BM!$A$2:$X$104,5,FALSE)</f>
        <v>0.5</v>
      </c>
      <c r="P245" s="117" t="s">
        <v>112</v>
      </c>
      <c r="Q245" s="163">
        <f t="shared" si="50"/>
        <v>1.25</v>
      </c>
      <c r="R245" s="161">
        <v>1</v>
      </c>
      <c r="S245" s="163">
        <f t="shared" si="51"/>
        <v>2.25</v>
      </c>
      <c r="T245" s="162" t="s">
        <v>48</v>
      </c>
    </row>
    <row r="246" spans="3:20" ht="20.25" customHeight="1">
      <c r="C246" s="109"/>
      <c r="D246" s="115">
        <f t="shared" si="45"/>
        <v>246</v>
      </c>
      <c r="E246" s="119" t="s">
        <v>278</v>
      </c>
      <c r="F246" s="121">
        <f t="shared" si="52"/>
        <v>245</v>
      </c>
      <c r="G246" s="118" t="s">
        <v>224</v>
      </c>
      <c r="H246" s="118"/>
      <c r="I246" s="121">
        <f>I245</f>
        <v>18</v>
      </c>
      <c r="J246" s="153" t="s">
        <v>280</v>
      </c>
      <c r="K246" s="131">
        <v>1</v>
      </c>
      <c r="L246" s="131" t="s">
        <v>81</v>
      </c>
      <c r="M246" s="141">
        <f t="shared" ref="M246:M247" si="56">LEFT(J246,SEARCH(" ",J246,1)-1)*K246*0.001</f>
        <v>1.25</v>
      </c>
      <c r="N246" s="117" t="s">
        <v>139</v>
      </c>
      <c r="O246" s="175">
        <f>VLOOKUP(I246,BM!$A$2:$X$104,5,FALSE)</f>
        <v>0.5</v>
      </c>
      <c r="P246" s="117" t="s">
        <v>112</v>
      </c>
      <c r="Q246" s="163">
        <f t="shared" si="50"/>
        <v>0.625</v>
      </c>
      <c r="R246" s="161">
        <v>1</v>
      </c>
      <c r="S246" s="163">
        <f t="shared" si="51"/>
        <v>1.625</v>
      </c>
      <c r="T246" s="162" t="s">
        <v>48</v>
      </c>
    </row>
    <row r="247" spans="3:20" ht="20.25" customHeight="1">
      <c r="C247" s="109"/>
      <c r="D247" s="115">
        <f t="shared" si="45"/>
        <v>247</v>
      </c>
      <c r="E247" s="119" t="s">
        <v>278</v>
      </c>
      <c r="F247" s="121">
        <f t="shared" si="52"/>
        <v>246</v>
      </c>
      <c r="G247" s="118" t="s">
        <v>224</v>
      </c>
      <c r="H247" s="118"/>
      <c r="I247" s="121">
        <f>I246</f>
        <v>18</v>
      </c>
      <c r="J247" s="153" t="s">
        <v>281</v>
      </c>
      <c r="K247" s="131">
        <v>1</v>
      </c>
      <c r="L247" s="131" t="s">
        <v>81</v>
      </c>
      <c r="M247" s="141">
        <f t="shared" si="56"/>
        <v>0</v>
      </c>
      <c r="N247" s="117" t="s">
        <v>139</v>
      </c>
      <c r="O247" s="175">
        <f>VLOOKUP(I247,BM!$A$2:$X$104,5,FALSE)</f>
        <v>0.5</v>
      </c>
      <c r="P247" s="117" t="s">
        <v>112</v>
      </c>
      <c r="Q247" s="163">
        <f t="shared" si="50"/>
        <v>0</v>
      </c>
      <c r="R247" s="161"/>
      <c r="S247" s="163">
        <f t="shared" si="51"/>
        <v>0</v>
      </c>
      <c r="T247" s="162" t="s">
        <v>48</v>
      </c>
    </row>
    <row r="248" spans="3:20" ht="20.25" customHeight="1">
      <c r="C248" s="109">
        <f>D248</f>
        <v>248</v>
      </c>
      <c r="D248" s="115">
        <f t="shared" si="45"/>
        <v>248</v>
      </c>
      <c r="E248" s="116" t="s">
        <v>753</v>
      </c>
      <c r="F248" s="121">
        <f>D243</f>
        <v>243</v>
      </c>
      <c r="G248" s="118"/>
      <c r="H248" s="118"/>
      <c r="I248" s="117"/>
      <c r="J248" s="117"/>
      <c r="K248" s="131"/>
      <c r="L248" s="131"/>
      <c r="M248" s="132"/>
      <c r="N248" s="117"/>
      <c r="O248" s="133"/>
      <c r="P248" s="117"/>
      <c r="Q248" s="163"/>
      <c r="R248" s="161"/>
      <c r="S248" s="163"/>
      <c r="T248" s="162"/>
    </row>
    <row r="249" spans="3:20" ht="20.25" customHeight="1">
      <c r="C249" s="109"/>
      <c r="D249" s="115">
        <f t="shared" si="45"/>
        <v>249</v>
      </c>
      <c r="E249" s="119" t="s">
        <v>283</v>
      </c>
      <c r="F249" s="121">
        <f t="shared" si="52"/>
        <v>248</v>
      </c>
      <c r="G249" s="118" t="s">
        <v>121</v>
      </c>
      <c r="H249" s="118"/>
      <c r="I249" s="121">
        <f>I247</f>
        <v>18</v>
      </c>
      <c r="J249" s="121" t="str">
        <f t="shared" ref="J249:K252" si="57">J244</f>
        <v>2500 mm</v>
      </c>
      <c r="K249" s="177">
        <f t="shared" si="57"/>
        <v>1</v>
      </c>
      <c r="L249" s="131" t="s">
        <v>81</v>
      </c>
      <c r="M249" s="141">
        <f t="shared" ref="M249:M252" si="58">LEFT(J249,SEARCH(" ",J249,1)-1)*K249*0.001</f>
        <v>2.5</v>
      </c>
      <c r="N249" s="117" t="s">
        <v>139</v>
      </c>
      <c r="O249" s="175">
        <f>VLOOKUP(I249,BM!$A$2:$X$104,6,FALSE)</f>
        <v>1</v>
      </c>
      <c r="P249" s="117" t="s">
        <v>112</v>
      </c>
      <c r="Q249" s="163">
        <f t="shared" si="50"/>
        <v>2.5</v>
      </c>
      <c r="R249" s="161">
        <v>1</v>
      </c>
      <c r="S249" s="163">
        <f t="shared" si="51"/>
        <v>3.5</v>
      </c>
      <c r="T249" s="162" t="s">
        <v>48</v>
      </c>
    </row>
    <row r="250" spans="3:20" ht="20.25" customHeight="1">
      <c r="C250" s="109"/>
      <c r="D250" s="115">
        <f t="shared" si="45"/>
        <v>250</v>
      </c>
      <c r="E250" s="119" t="s">
        <v>283</v>
      </c>
      <c r="F250" s="121">
        <f t="shared" si="52"/>
        <v>249</v>
      </c>
      <c r="G250" s="118" t="s">
        <v>121</v>
      </c>
      <c r="H250" s="118"/>
      <c r="I250" s="121">
        <f>I247</f>
        <v>18</v>
      </c>
      <c r="J250" s="121" t="str">
        <f t="shared" si="57"/>
        <v>2500 mm</v>
      </c>
      <c r="K250" s="177">
        <f t="shared" si="57"/>
        <v>1</v>
      </c>
      <c r="L250" s="131" t="s">
        <v>81</v>
      </c>
      <c r="M250" s="141">
        <f t="shared" si="58"/>
        <v>2.5</v>
      </c>
      <c r="N250" s="117" t="s">
        <v>139</v>
      </c>
      <c r="O250" s="175">
        <f>VLOOKUP(I250,BM!$A$2:$X$104,6,FALSE)</f>
        <v>1</v>
      </c>
      <c r="P250" s="117" t="s">
        <v>112</v>
      </c>
      <c r="Q250" s="163">
        <f t="shared" si="50"/>
        <v>2.5</v>
      </c>
      <c r="R250" s="161">
        <v>1</v>
      </c>
      <c r="S250" s="163">
        <f t="shared" si="51"/>
        <v>3.5</v>
      </c>
      <c r="T250" s="162" t="s">
        <v>48</v>
      </c>
    </row>
    <row r="251" spans="3:20" ht="20.25" customHeight="1">
      <c r="C251" s="109"/>
      <c r="D251" s="115">
        <f t="shared" si="45"/>
        <v>251</v>
      </c>
      <c r="E251" s="119" t="s">
        <v>283</v>
      </c>
      <c r="F251" s="121">
        <f t="shared" si="52"/>
        <v>250</v>
      </c>
      <c r="G251" s="118" t="s">
        <v>121</v>
      </c>
      <c r="H251" s="118"/>
      <c r="I251" s="121">
        <f>I247</f>
        <v>18</v>
      </c>
      <c r="J251" s="121" t="str">
        <f t="shared" si="57"/>
        <v>1250 mm</v>
      </c>
      <c r="K251" s="177">
        <f t="shared" si="57"/>
        <v>1</v>
      </c>
      <c r="L251" s="131" t="s">
        <v>81</v>
      </c>
      <c r="M251" s="141">
        <f t="shared" si="58"/>
        <v>1.25</v>
      </c>
      <c r="N251" s="117" t="s">
        <v>139</v>
      </c>
      <c r="O251" s="175">
        <f>VLOOKUP(I251,BM!$A$2:$X$104,6,FALSE)</f>
        <v>1</v>
      </c>
      <c r="P251" s="117" t="s">
        <v>112</v>
      </c>
      <c r="Q251" s="163">
        <f t="shared" si="50"/>
        <v>1.25</v>
      </c>
      <c r="R251" s="161">
        <v>1</v>
      </c>
      <c r="S251" s="163">
        <f t="shared" si="51"/>
        <v>2.25</v>
      </c>
      <c r="T251" s="162" t="s">
        <v>48</v>
      </c>
    </row>
    <row r="252" spans="3:20" ht="20.25" customHeight="1">
      <c r="C252" s="109"/>
      <c r="D252" s="115">
        <f t="shared" si="45"/>
        <v>252</v>
      </c>
      <c r="E252" s="119" t="s">
        <v>283</v>
      </c>
      <c r="F252" s="121">
        <f t="shared" si="52"/>
        <v>251</v>
      </c>
      <c r="G252" s="118" t="s">
        <v>121</v>
      </c>
      <c r="H252" s="118"/>
      <c r="I252" s="121">
        <f>I247</f>
        <v>18</v>
      </c>
      <c r="J252" s="121" t="str">
        <f t="shared" si="57"/>
        <v>0 mm</v>
      </c>
      <c r="K252" s="177">
        <f t="shared" si="57"/>
        <v>1</v>
      </c>
      <c r="L252" s="131" t="s">
        <v>81</v>
      </c>
      <c r="M252" s="141">
        <f t="shared" si="58"/>
        <v>0</v>
      </c>
      <c r="N252" s="117" t="s">
        <v>139</v>
      </c>
      <c r="O252" s="175">
        <f>VLOOKUP(I252,BM!$A$2:$X$104,6,FALSE)</f>
        <v>1</v>
      </c>
      <c r="P252" s="117" t="s">
        <v>112</v>
      </c>
      <c r="Q252" s="163">
        <f t="shared" si="50"/>
        <v>0</v>
      </c>
      <c r="R252" s="161">
        <v>1</v>
      </c>
      <c r="S252" s="163">
        <f t="shared" si="51"/>
        <v>1</v>
      </c>
      <c r="T252" s="162" t="s">
        <v>48</v>
      </c>
    </row>
    <row r="253" spans="3:20" ht="20.25" customHeight="1">
      <c r="C253" s="109">
        <f>D253</f>
        <v>253</v>
      </c>
      <c r="D253" s="115">
        <f t="shared" si="45"/>
        <v>253</v>
      </c>
      <c r="E253" s="116" t="s">
        <v>754</v>
      </c>
      <c r="F253" s="121">
        <f>D248</f>
        <v>248</v>
      </c>
      <c r="G253" s="118"/>
      <c r="H253" s="118"/>
      <c r="I253" s="117"/>
      <c r="J253" s="117"/>
      <c r="K253" s="131"/>
      <c r="L253" s="131"/>
      <c r="M253" s="132"/>
      <c r="N253" s="117"/>
      <c r="O253" s="133"/>
      <c r="P253" s="117"/>
      <c r="Q253" s="163"/>
      <c r="R253" s="161"/>
      <c r="S253" s="163"/>
      <c r="T253" s="162"/>
    </row>
    <row r="254" spans="3:20" ht="20.25" customHeight="1">
      <c r="C254" s="109"/>
      <c r="D254" s="115">
        <f t="shared" si="45"/>
        <v>254</v>
      </c>
      <c r="E254" s="119" t="s">
        <v>285</v>
      </c>
      <c r="F254" s="121">
        <f t="shared" si="52"/>
        <v>253</v>
      </c>
      <c r="G254" s="118" t="s">
        <v>286</v>
      </c>
      <c r="H254" s="118"/>
      <c r="I254" s="121">
        <f>I252</f>
        <v>18</v>
      </c>
      <c r="J254" s="121" t="str">
        <f t="shared" ref="J254:K257" si="59">J249</f>
        <v>2500 mm</v>
      </c>
      <c r="K254" s="177">
        <f t="shared" si="59"/>
        <v>1</v>
      </c>
      <c r="L254" s="131" t="s">
        <v>81</v>
      </c>
      <c r="M254" s="141">
        <v>1</v>
      </c>
      <c r="N254" s="117" t="s">
        <v>39</v>
      </c>
      <c r="O254" s="133">
        <v>3</v>
      </c>
      <c r="P254" s="117" t="s">
        <v>112</v>
      </c>
      <c r="Q254" s="163">
        <f t="shared" si="50"/>
        <v>3</v>
      </c>
      <c r="R254" s="161">
        <v>1</v>
      </c>
      <c r="S254" s="163">
        <f t="shared" si="51"/>
        <v>4</v>
      </c>
      <c r="T254" s="162" t="s">
        <v>48</v>
      </c>
    </row>
    <row r="255" spans="3:20" ht="20.25" customHeight="1">
      <c r="C255" s="109"/>
      <c r="D255" s="115">
        <f t="shared" si="45"/>
        <v>255</v>
      </c>
      <c r="E255" s="119" t="s">
        <v>285</v>
      </c>
      <c r="F255" s="121">
        <f t="shared" si="52"/>
        <v>254</v>
      </c>
      <c r="G255" s="118" t="s">
        <v>286</v>
      </c>
      <c r="H255" s="118"/>
      <c r="I255" s="121">
        <f>I252</f>
        <v>18</v>
      </c>
      <c r="J255" s="121" t="str">
        <f t="shared" si="59"/>
        <v>2500 mm</v>
      </c>
      <c r="K255" s="177">
        <f t="shared" si="59"/>
        <v>1</v>
      </c>
      <c r="L255" s="131" t="s">
        <v>81</v>
      </c>
      <c r="M255" s="141">
        <v>1</v>
      </c>
      <c r="N255" s="117" t="str">
        <f>N254</f>
        <v>No</v>
      </c>
      <c r="O255" s="175">
        <v>3</v>
      </c>
      <c r="P255" s="117" t="s">
        <v>112</v>
      </c>
      <c r="Q255" s="163">
        <f t="shared" si="50"/>
        <v>3</v>
      </c>
      <c r="R255" s="161">
        <v>1</v>
      </c>
      <c r="S255" s="163">
        <f t="shared" si="51"/>
        <v>4</v>
      </c>
      <c r="T255" s="162" t="s">
        <v>48</v>
      </c>
    </row>
    <row r="256" spans="3:20" ht="20.25" customHeight="1">
      <c r="C256" s="109"/>
      <c r="D256" s="115">
        <f t="shared" si="45"/>
        <v>256</v>
      </c>
      <c r="E256" s="119" t="s">
        <v>285</v>
      </c>
      <c r="F256" s="121">
        <f t="shared" si="52"/>
        <v>255</v>
      </c>
      <c r="G256" s="118" t="s">
        <v>286</v>
      </c>
      <c r="H256" s="118"/>
      <c r="I256" s="121">
        <f>I252</f>
        <v>18</v>
      </c>
      <c r="J256" s="121" t="str">
        <f t="shared" si="59"/>
        <v>1250 mm</v>
      </c>
      <c r="K256" s="177">
        <f t="shared" si="59"/>
        <v>1</v>
      </c>
      <c r="L256" s="131" t="s">
        <v>81</v>
      </c>
      <c r="M256" s="141">
        <v>1</v>
      </c>
      <c r="N256" s="117" t="str">
        <f>N255</f>
        <v>No</v>
      </c>
      <c r="O256" s="175">
        <v>3</v>
      </c>
      <c r="P256" s="117" t="s">
        <v>112</v>
      </c>
      <c r="Q256" s="163">
        <f t="shared" si="50"/>
        <v>3</v>
      </c>
      <c r="R256" s="161">
        <v>1</v>
      </c>
      <c r="S256" s="163">
        <f t="shared" si="51"/>
        <v>4</v>
      </c>
      <c r="T256" s="162" t="s">
        <v>48</v>
      </c>
    </row>
    <row r="257" spans="3:20" ht="20.25" customHeight="1">
      <c r="C257" s="109"/>
      <c r="D257" s="115">
        <f t="shared" si="45"/>
        <v>257</v>
      </c>
      <c r="E257" s="119" t="s">
        <v>285</v>
      </c>
      <c r="F257" s="121">
        <f t="shared" si="52"/>
        <v>256</v>
      </c>
      <c r="G257" s="118" t="s">
        <v>286</v>
      </c>
      <c r="H257" s="118"/>
      <c r="I257" s="121">
        <f>I252</f>
        <v>18</v>
      </c>
      <c r="J257" s="121" t="str">
        <f t="shared" si="59"/>
        <v>0 mm</v>
      </c>
      <c r="K257" s="177">
        <v>0</v>
      </c>
      <c r="L257" s="131" t="s">
        <v>81</v>
      </c>
      <c r="M257" s="141">
        <v>0</v>
      </c>
      <c r="N257" s="117" t="str">
        <f>N256</f>
        <v>No</v>
      </c>
      <c r="O257" s="175">
        <v>0</v>
      </c>
      <c r="P257" s="117" t="s">
        <v>112</v>
      </c>
      <c r="Q257" s="163">
        <f t="shared" si="50"/>
        <v>0</v>
      </c>
      <c r="R257" s="161"/>
      <c r="S257" s="163">
        <f t="shared" si="51"/>
        <v>0</v>
      </c>
      <c r="T257" s="162" t="s">
        <v>48</v>
      </c>
    </row>
    <row r="258" spans="3:20" ht="20.25" customHeight="1">
      <c r="C258" s="109">
        <f>D258</f>
        <v>258</v>
      </c>
      <c r="D258" s="115">
        <f t="shared" si="45"/>
        <v>258</v>
      </c>
      <c r="E258" s="116" t="s">
        <v>755</v>
      </c>
      <c r="F258" s="121">
        <f>D253</f>
        <v>253</v>
      </c>
      <c r="G258" s="118"/>
      <c r="H258" s="118"/>
      <c r="I258" s="117"/>
      <c r="J258" s="117"/>
      <c r="K258" s="131"/>
      <c r="L258" s="131"/>
      <c r="M258" s="132"/>
      <c r="N258" s="117"/>
      <c r="O258" s="133"/>
      <c r="P258" s="117"/>
      <c r="Q258" s="163"/>
      <c r="R258" s="161"/>
      <c r="S258" s="163"/>
      <c r="T258" s="162"/>
    </row>
    <row r="259" spans="3:20" ht="20.25" customHeight="1">
      <c r="C259" s="109"/>
      <c r="D259" s="115">
        <f t="shared" ref="D259:D322" si="60">D258+1</f>
        <v>259</v>
      </c>
      <c r="E259" s="119" t="s">
        <v>288</v>
      </c>
      <c r="F259" s="121">
        <f t="shared" si="52"/>
        <v>258</v>
      </c>
      <c r="G259" s="118" t="s">
        <v>289</v>
      </c>
      <c r="H259" s="118"/>
      <c r="I259" s="121">
        <f>I257</f>
        <v>18</v>
      </c>
      <c r="J259" s="121" t="str">
        <f>J254</f>
        <v>2500 mm</v>
      </c>
      <c r="K259" s="131">
        <v>1</v>
      </c>
      <c r="L259" s="131" t="s">
        <v>81</v>
      </c>
      <c r="M259" s="155">
        <v>1</v>
      </c>
      <c r="N259" s="117" t="s">
        <v>81</v>
      </c>
      <c r="O259" s="175">
        <v>3</v>
      </c>
      <c r="P259" s="117" t="s">
        <v>112</v>
      </c>
      <c r="Q259" s="163">
        <f t="shared" si="50"/>
        <v>3</v>
      </c>
      <c r="R259" s="161">
        <v>1</v>
      </c>
      <c r="S259" s="163">
        <f t="shared" si="51"/>
        <v>4</v>
      </c>
      <c r="T259" s="162" t="s">
        <v>48</v>
      </c>
    </row>
    <row r="260" spans="3:20" ht="20.25" customHeight="1">
      <c r="C260" s="109"/>
      <c r="D260" s="115">
        <f t="shared" si="60"/>
        <v>260</v>
      </c>
      <c r="E260" s="119" t="s">
        <v>288</v>
      </c>
      <c r="F260" s="121">
        <f t="shared" si="52"/>
        <v>259</v>
      </c>
      <c r="G260" s="118" t="s">
        <v>289</v>
      </c>
      <c r="H260" s="118"/>
      <c r="I260" s="121">
        <f>I257</f>
        <v>18</v>
      </c>
      <c r="J260" s="121" t="str">
        <f>J255</f>
        <v>2500 mm</v>
      </c>
      <c r="K260" s="131">
        <v>1</v>
      </c>
      <c r="L260" s="131" t="s">
        <v>81</v>
      </c>
      <c r="M260" s="155">
        <v>1</v>
      </c>
      <c r="N260" s="117" t="s">
        <v>81</v>
      </c>
      <c r="O260" s="175">
        <v>3</v>
      </c>
      <c r="P260" s="117" t="s">
        <v>112</v>
      </c>
      <c r="Q260" s="163">
        <f t="shared" si="50"/>
        <v>3</v>
      </c>
      <c r="R260" s="161">
        <v>1</v>
      </c>
      <c r="S260" s="163">
        <f t="shared" si="51"/>
        <v>4</v>
      </c>
      <c r="T260" s="162" t="s">
        <v>48</v>
      </c>
    </row>
    <row r="261" spans="3:20" ht="20.25" customHeight="1">
      <c r="C261" s="109"/>
      <c r="D261" s="115">
        <f t="shared" si="60"/>
        <v>261</v>
      </c>
      <c r="E261" s="119" t="s">
        <v>288</v>
      </c>
      <c r="F261" s="121">
        <f t="shared" si="52"/>
        <v>260</v>
      </c>
      <c r="G261" s="118" t="s">
        <v>289</v>
      </c>
      <c r="H261" s="118"/>
      <c r="I261" s="121">
        <f>I257</f>
        <v>18</v>
      </c>
      <c r="J261" s="121" t="str">
        <f>J256</f>
        <v>1250 mm</v>
      </c>
      <c r="K261" s="131">
        <v>1</v>
      </c>
      <c r="L261" s="131" t="s">
        <v>81</v>
      </c>
      <c r="M261" s="155">
        <v>1</v>
      </c>
      <c r="N261" s="117" t="s">
        <v>81</v>
      </c>
      <c r="O261" s="175">
        <v>3</v>
      </c>
      <c r="P261" s="117" t="s">
        <v>112</v>
      </c>
      <c r="Q261" s="163">
        <f t="shared" si="50"/>
        <v>3</v>
      </c>
      <c r="R261" s="161">
        <v>1</v>
      </c>
      <c r="S261" s="163">
        <f t="shared" si="51"/>
        <v>4</v>
      </c>
      <c r="T261" s="162" t="s">
        <v>48</v>
      </c>
    </row>
    <row r="262" spans="3:20" ht="20.25" customHeight="1">
      <c r="C262" s="109"/>
      <c r="D262" s="115">
        <f t="shared" si="60"/>
        <v>262</v>
      </c>
      <c r="E262" s="119" t="s">
        <v>288</v>
      </c>
      <c r="F262" s="121">
        <f t="shared" si="52"/>
        <v>261</v>
      </c>
      <c r="G262" s="118" t="s">
        <v>289</v>
      </c>
      <c r="H262" s="118"/>
      <c r="I262" s="121">
        <f>I257</f>
        <v>18</v>
      </c>
      <c r="J262" s="121" t="str">
        <f>J257</f>
        <v>0 mm</v>
      </c>
      <c r="K262" s="131">
        <v>1</v>
      </c>
      <c r="L262" s="131" t="s">
        <v>81</v>
      </c>
      <c r="M262" s="155">
        <v>0</v>
      </c>
      <c r="N262" s="117" t="s">
        <v>81</v>
      </c>
      <c r="O262" s="175">
        <v>3</v>
      </c>
      <c r="P262" s="117" t="s">
        <v>112</v>
      </c>
      <c r="Q262" s="163">
        <f t="shared" si="50"/>
        <v>0</v>
      </c>
      <c r="R262" s="161">
        <v>1</v>
      </c>
      <c r="S262" s="163">
        <f t="shared" si="51"/>
        <v>1</v>
      </c>
      <c r="T262" s="162" t="s">
        <v>48</v>
      </c>
    </row>
    <row r="263" spans="3:20" ht="20.25" customHeight="1">
      <c r="C263" s="109">
        <f>D263</f>
        <v>263</v>
      </c>
      <c r="D263" s="115">
        <f t="shared" si="60"/>
        <v>263</v>
      </c>
      <c r="E263" s="116" t="s">
        <v>756</v>
      </c>
      <c r="F263" s="121">
        <f>D258</f>
        <v>258</v>
      </c>
      <c r="G263" s="118"/>
      <c r="H263" s="118"/>
      <c r="I263" s="117"/>
      <c r="J263" s="117"/>
      <c r="K263" s="131"/>
      <c r="L263" s="131"/>
      <c r="M263" s="132"/>
      <c r="N263" s="117"/>
      <c r="O263" s="133"/>
      <c r="P263" s="117"/>
      <c r="Q263" s="163"/>
      <c r="R263" s="161"/>
      <c r="S263" s="163"/>
      <c r="T263" s="162"/>
    </row>
    <row r="264" spans="3:20" ht="20.25" customHeight="1">
      <c r="C264" s="109"/>
      <c r="D264" s="115">
        <f t="shared" si="60"/>
        <v>264</v>
      </c>
      <c r="E264" s="119" t="s">
        <v>291</v>
      </c>
      <c r="F264" s="121">
        <f t="shared" si="52"/>
        <v>263</v>
      </c>
      <c r="G264" s="118" t="s">
        <v>44</v>
      </c>
      <c r="H264" s="118"/>
      <c r="I264" s="121">
        <f>I262</f>
        <v>18</v>
      </c>
      <c r="J264" s="121" t="str">
        <f>J259</f>
        <v>2500 mm</v>
      </c>
      <c r="K264" s="131">
        <v>1</v>
      </c>
      <c r="L264" s="131" t="s">
        <v>81</v>
      </c>
      <c r="M264" s="141">
        <f t="shared" ref="M264:M267" si="61">LEFT(J264,SEARCH(" ",J264,1)-1)*K264*0.001</f>
        <v>2.5</v>
      </c>
      <c r="N264" s="117" t="s">
        <v>139</v>
      </c>
      <c r="O264" s="175">
        <f>VLOOKUP(I264,BM!$A$2:$X$104,9,FALSE)</f>
        <v>1</v>
      </c>
      <c r="P264" s="117" t="s">
        <v>112</v>
      </c>
      <c r="Q264" s="163">
        <f t="shared" si="50"/>
        <v>2.5</v>
      </c>
      <c r="R264" s="161">
        <v>1</v>
      </c>
      <c r="S264" s="163">
        <f t="shared" si="51"/>
        <v>3.5</v>
      </c>
      <c r="T264" s="162" t="s">
        <v>48</v>
      </c>
    </row>
    <row r="265" spans="3:20" ht="20.25" customHeight="1">
      <c r="C265" s="109"/>
      <c r="D265" s="115">
        <f t="shared" si="60"/>
        <v>265</v>
      </c>
      <c r="E265" s="119" t="s">
        <v>291</v>
      </c>
      <c r="F265" s="121">
        <f t="shared" si="52"/>
        <v>264</v>
      </c>
      <c r="G265" s="118" t="s">
        <v>44</v>
      </c>
      <c r="H265" s="118"/>
      <c r="I265" s="121">
        <f>I262</f>
        <v>18</v>
      </c>
      <c r="J265" s="121" t="str">
        <f>J260</f>
        <v>2500 mm</v>
      </c>
      <c r="K265" s="131">
        <v>1</v>
      </c>
      <c r="L265" s="131" t="s">
        <v>81</v>
      </c>
      <c r="M265" s="141">
        <f t="shared" si="61"/>
        <v>2.5</v>
      </c>
      <c r="N265" s="117" t="s">
        <v>139</v>
      </c>
      <c r="O265" s="175">
        <f>VLOOKUP(I265,BM!$A$2:$X$104,9,FALSE)</f>
        <v>1</v>
      </c>
      <c r="P265" s="117" t="s">
        <v>112</v>
      </c>
      <c r="Q265" s="163">
        <f t="shared" si="50"/>
        <v>2.5</v>
      </c>
      <c r="R265" s="161">
        <v>1</v>
      </c>
      <c r="S265" s="163">
        <f t="shared" si="51"/>
        <v>3.5</v>
      </c>
      <c r="T265" s="162" t="s">
        <v>48</v>
      </c>
    </row>
    <row r="266" spans="3:20" ht="20.25" customHeight="1">
      <c r="C266" s="109"/>
      <c r="D266" s="115">
        <f t="shared" si="60"/>
        <v>266</v>
      </c>
      <c r="E266" s="119" t="s">
        <v>291</v>
      </c>
      <c r="F266" s="121">
        <f t="shared" si="52"/>
        <v>265</v>
      </c>
      <c r="G266" s="118" t="s">
        <v>44</v>
      </c>
      <c r="H266" s="118"/>
      <c r="I266" s="121">
        <f>I262</f>
        <v>18</v>
      </c>
      <c r="J266" s="121" t="str">
        <f>J261</f>
        <v>1250 mm</v>
      </c>
      <c r="K266" s="131">
        <v>1</v>
      </c>
      <c r="L266" s="131" t="s">
        <v>81</v>
      </c>
      <c r="M266" s="141">
        <f t="shared" si="61"/>
        <v>1.25</v>
      </c>
      <c r="N266" s="117" t="s">
        <v>139</v>
      </c>
      <c r="O266" s="175">
        <f>VLOOKUP(I266,BM!$A$2:$X$104,9,FALSE)</f>
        <v>1</v>
      </c>
      <c r="P266" s="117" t="s">
        <v>112</v>
      </c>
      <c r="Q266" s="163">
        <f t="shared" si="50"/>
        <v>1.25</v>
      </c>
      <c r="R266" s="161">
        <v>1</v>
      </c>
      <c r="S266" s="163">
        <f t="shared" si="51"/>
        <v>2.25</v>
      </c>
      <c r="T266" s="162" t="s">
        <v>48</v>
      </c>
    </row>
    <row r="267" spans="3:20" ht="20.25" customHeight="1">
      <c r="C267" s="109"/>
      <c r="D267" s="115">
        <f t="shared" si="60"/>
        <v>267</v>
      </c>
      <c r="E267" s="119" t="s">
        <v>291</v>
      </c>
      <c r="F267" s="121">
        <f t="shared" si="52"/>
        <v>266</v>
      </c>
      <c r="G267" s="118" t="s">
        <v>44</v>
      </c>
      <c r="H267" s="118"/>
      <c r="I267" s="121">
        <f>I262</f>
        <v>18</v>
      </c>
      <c r="J267" s="121" t="str">
        <f>J262</f>
        <v>0 mm</v>
      </c>
      <c r="K267" s="131">
        <v>1</v>
      </c>
      <c r="L267" s="131" t="s">
        <v>81</v>
      </c>
      <c r="M267" s="141">
        <f t="shared" si="61"/>
        <v>0</v>
      </c>
      <c r="N267" s="117" t="s">
        <v>139</v>
      </c>
      <c r="O267" s="175">
        <f>VLOOKUP(I267,BM!$A$2:$X$104,9,FALSE)</f>
        <v>1</v>
      </c>
      <c r="P267" s="117" t="s">
        <v>112</v>
      </c>
      <c r="Q267" s="163">
        <f t="shared" si="50"/>
        <v>0</v>
      </c>
      <c r="R267" s="161">
        <v>1</v>
      </c>
      <c r="S267" s="163">
        <f t="shared" si="51"/>
        <v>1</v>
      </c>
      <c r="T267" s="162" t="s">
        <v>48</v>
      </c>
    </row>
    <row r="268" spans="3:20" ht="20.25" customHeight="1">
      <c r="C268" s="109">
        <f>D268</f>
        <v>268</v>
      </c>
      <c r="D268" s="115">
        <f t="shared" si="60"/>
        <v>268</v>
      </c>
      <c r="E268" s="116" t="s">
        <v>757</v>
      </c>
      <c r="F268" s="121">
        <f>D263</f>
        <v>263</v>
      </c>
      <c r="G268" s="118"/>
      <c r="H268" s="118"/>
      <c r="I268" s="117"/>
      <c r="J268" s="117"/>
      <c r="K268" s="131"/>
      <c r="L268" s="131"/>
      <c r="M268" s="132"/>
      <c r="N268" s="117"/>
      <c r="O268" s="133"/>
      <c r="P268" s="117"/>
      <c r="Q268" s="163"/>
      <c r="R268" s="161"/>
      <c r="S268" s="163"/>
      <c r="T268" s="162"/>
    </row>
    <row r="269" spans="3:20" ht="20.25" customHeight="1">
      <c r="C269" s="109"/>
      <c r="D269" s="115">
        <f t="shared" si="60"/>
        <v>269</v>
      </c>
      <c r="E269" s="119" t="s">
        <v>293</v>
      </c>
      <c r="F269" s="121">
        <f t="shared" si="52"/>
        <v>268</v>
      </c>
      <c r="G269" s="118" t="s">
        <v>286</v>
      </c>
      <c r="H269" s="118"/>
      <c r="I269" s="121">
        <f>I267</f>
        <v>18</v>
      </c>
      <c r="J269" s="121" t="str">
        <f>J264</f>
        <v>2500 mm</v>
      </c>
      <c r="K269" s="131">
        <v>1</v>
      </c>
      <c r="L269" s="131" t="s">
        <v>81</v>
      </c>
      <c r="M269" s="155">
        <f>K269</f>
        <v>1</v>
      </c>
      <c r="N269" s="117" t="s">
        <v>39</v>
      </c>
      <c r="O269" s="133">
        <v>3</v>
      </c>
      <c r="P269" s="117" t="s">
        <v>112</v>
      </c>
      <c r="Q269" s="163">
        <f t="shared" si="50"/>
        <v>3</v>
      </c>
      <c r="R269" s="161">
        <v>1</v>
      </c>
      <c r="S269" s="163">
        <f t="shared" si="51"/>
        <v>4</v>
      </c>
      <c r="T269" s="162" t="s">
        <v>48</v>
      </c>
    </row>
    <row r="270" spans="3:20" ht="20.25" customHeight="1">
      <c r="C270" s="109"/>
      <c r="D270" s="115">
        <f t="shared" si="60"/>
        <v>270</v>
      </c>
      <c r="E270" s="119" t="s">
        <v>294</v>
      </c>
      <c r="F270" s="121">
        <f t="shared" si="52"/>
        <v>269</v>
      </c>
      <c r="G270" s="118" t="s">
        <v>286</v>
      </c>
      <c r="H270" s="118"/>
      <c r="I270" s="121">
        <f>I267</f>
        <v>18</v>
      </c>
      <c r="J270" s="121" t="str">
        <f>J265</f>
        <v>2500 mm</v>
      </c>
      <c r="K270" s="131">
        <v>1</v>
      </c>
      <c r="L270" s="131" t="s">
        <v>81</v>
      </c>
      <c r="M270" s="155">
        <f>K270</f>
        <v>1</v>
      </c>
      <c r="N270" s="117" t="s">
        <v>39</v>
      </c>
      <c r="O270" s="175">
        <f>O269</f>
        <v>3</v>
      </c>
      <c r="P270" s="117" t="s">
        <v>112</v>
      </c>
      <c r="Q270" s="163">
        <f t="shared" si="50"/>
        <v>3</v>
      </c>
      <c r="R270" s="161">
        <v>1</v>
      </c>
      <c r="S270" s="163">
        <f t="shared" si="51"/>
        <v>4</v>
      </c>
      <c r="T270" s="162" t="s">
        <v>48</v>
      </c>
    </row>
    <row r="271" spans="3:20" ht="20.25" customHeight="1">
      <c r="C271" s="109"/>
      <c r="D271" s="115">
        <f t="shared" si="60"/>
        <v>271</v>
      </c>
      <c r="E271" s="119" t="s">
        <v>294</v>
      </c>
      <c r="F271" s="121">
        <f t="shared" si="52"/>
        <v>270</v>
      </c>
      <c r="G271" s="118" t="s">
        <v>286</v>
      </c>
      <c r="H271" s="118"/>
      <c r="I271" s="121">
        <f>I267</f>
        <v>18</v>
      </c>
      <c r="J271" s="121" t="str">
        <f>J266</f>
        <v>1250 mm</v>
      </c>
      <c r="K271" s="131">
        <v>1</v>
      </c>
      <c r="L271" s="131" t="s">
        <v>81</v>
      </c>
      <c r="M271" s="155">
        <f>K271</f>
        <v>1</v>
      </c>
      <c r="N271" s="117" t="s">
        <v>39</v>
      </c>
      <c r="O271" s="175">
        <f>O270</f>
        <v>3</v>
      </c>
      <c r="P271" s="117" t="s">
        <v>112</v>
      </c>
      <c r="Q271" s="163">
        <f t="shared" si="50"/>
        <v>3</v>
      </c>
      <c r="R271" s="161">
        <v>1</v>
      </c>
      <c r="S271" s="163">
        <f t="shared" si="51"/>
        <v>4</v>
      </c>
      <c r="T271" s="162" t="s">
        <v>48</v>
      </c>
    </row>
    <row r="272" spans="3:20" ht="20.25" customHeight="1">
      <c r="C272" s="109"/>
      <c r="D272" s="115">
        <f t="shared" si="60"/>
        <v>272</v>
      </c>
      <c r="E272" s="119" t="s">
        <v>294</v>
      </c>
      <c r="F272" s="121">
        <f t="shared" si="52"/>
        <v>271</v>
      </c>
      <c r="G272" s="118" t="s">
        <v>286</v>
      </c>
      <c r="H272" s="118"/>
      <c r="I272" s="121">
        <f>I267</f>
        <v>18</v>
      </c>
      <c r="J272" s="121" t="str">
        <f>J267</f>
        <v>0 mm</v>
      </c>
      <c r="K272" s="131">
        <v>1</v>
      </c>
      <c r="L272" s="131" t="s">
        <v>81</v>
      </c>
      <c r="M272" s="155">
        <f>K272</f>
        <v>1</v>
      </c>
      <c r="N272" s="117" t="s">
        <v>39</v>
      </c>
      <c r="O272" s="175">
        <f>O271</f>
        <v>3</v>
      </c>
      <c r="P272" s="117" t="s">
        <v>112</v>
      </c>
      <c r="Q272" s="163">
        <f t="shared" si="50"/>
        <v>3</v>
      </c>
      <c r="R272" s="161">
        <v>1</v>
      </c>
      <c r="S272" s="163">
        <f t="shared" si="51"/>
        <v>4</v>
      </c>
      <c r="T272" s="162" t="s">
        <v>48</v>
      </c>
    </row>
    <row r="273" spans="3:20" ht="20.25" customHeight="1">
      <c r="C273" s="109">
        <f>D273</f>
        <v>273</v>
      </c>
      <c r="D273" s="115">
        <f t="shared" si="60"/>
        <v>273</v>
      </c>
      <c r="E273" s="116" t="s">
        <v>758</v>
      </c>
      <c r="F273" s="121">
        <f>D268</f>
        <v>268</v>
      </c>
      <c r="G273" s="118"/>
      <c r="H273" s="118"/>
      <c r="I273" s="117"/>
      <c r="J273" s="117"/>
      <c r="K273" s="131"/>
      <c r="L273" s="131"/>
      <c r="M273" s="132"/>
      <c r="N273" s="117"/>
      <c r="O273" s="133"/>
      <c r="P273" s="117"/>
      <c r="Q273" s="163">
        <f t="shared" si="50"/>
        <v>0</v>
      </c>
      <c r="R273" s="161"/>
      <c r="S273" s="163">
        <f t="shared" si="51"/>
        <v>0</v>
      </c>
      <c r="T273" s="162"/>
    </row>
    <row r="274" spans="3:20" ht="20.25" customHeight="1">
      <c r="C274" s="109"/>
      <c r="D274" s="115">
        <f t="shared" si="60"/>
        <v>274</v>
      </c>
      <c r="E274" s="119" t="s">
        <v>296</v>
      </c>
      <c r="F274" s="121">
        <f t="shared" si="52"/>
        <v>273</v>
      </c>
      <c r="G274" s="118" t="s">
        <v>201</v>
      </c>
      <c r="H274" s="118"/>
      <c r="I274" s="121">
        <f>I272</f>
        <v>18</v>
      </c>
      <c r="J274" s="121" t="str">
        <f>J269</f>
        <v>2500 mm</v>
      </c>
      <c r="K274" s="131">
        <v>1</v>
      </c>
      <c r="L274" s="131" t="s">
        <v>81</v>
      </c>
      <c r="M274" s="141">
        <f t="shared" ref="M274:M307" si="62">LEFT(J274,SEARCH(" ",J274,1)-1)*K274*0.001</f>
        <v>2.5</v>
      </c>
      <c r="N274" s="117" t="s">
        <v>139</v>
      </c>
      <c r="O274" s="175">
        <f>VLOOKUP(I274,BM!$A$2:$X$104,9,FALSE)</f>
        <v>1</v>
      </c>
      <c r="P274" s="117" t="s">
        <v>112</v>
      </c>
      <c r="Q274" s="163">
        <f t="shared" si="50"/>
        <v>2.5</v>
      </c>
      <c r="R274" s="161">
        <v>1</v>
      </c>
      <c r="S274" s="163">
        <f t="shared" si="51"/>
        <v>3.5</v>
      </c>
      <c r="T274" s="162" t="s">
        <v>48</v>
      </c>
    </row>
    <row r="275" spans="3:20" ht="20.25" customHeight="1">
      <c r="C275" s="109"/>
      <c r="D275" s="115">
        <f t="shared" si="60"/>
        <v>275</v>
      </c>
      <c r="E275" s="119" t="s">
        <v>296</v>
      </c>
      <c r="F275" s="121">
        <f t="shared" si="52"/>
        <v>274</v>
      </c>
      <c r="G275" s="118" t="s">
        <v>201</v>
      </c>
      <c r="H275" s="118"/>
      <c r="I275" s="121">
        <f>I272</f>
        <v>18</v>
      </c>
      <c r="J275" s="121" t="str">
        <f>J270</f>
        <v>2500 mm</v>
      </c>
      <c r="K275" s="131">
        <v>1</v>
      </c>
      <c r="L275" s="131" t="s">
        <v>81</v>
      </c>
      <c r="M275" s="141">
        <f t="shared" si="62"/>
        <v>2.5</v>
      </c>
      <c r="N275" s="117" t="s">
        <v>139</v>
      </c>
      <c r="O275" s="175">
        <f>VLOOKUP(I275,BM!$A$2:$X$104,9,FALSE)</f>
        <v>1</v>
      </c>
      <c r="P275" s="117" t="s">
        <v>112</v>
      </c>
      <c r="Q275" s="163">
        <f t="shared" si="50"/>
        <v>2.5</v>
      </c>
      <c r="R275" s="161">
        <v>1</v>
      </c>
      <c r="S275" s="163">
        <f t="shared" si="51"/>
        <v>3.5</v>
      </c>
      <c r="T275" s="162" t="s">
        <v>48</v>
      </c>
    </row>
    <row r="276" spans="3:20" ht="20.25" customHeight="1">
      <c r="C276" s="109"/>
      <c r="D276" s="115">
        <f t="shared" si="60"/>
        <v>276</v>
      </c>
      <c r="E276" s="119" t="s">
        <v>296</v>
      </c>
      <c r="F276" s="121">
        <f t="shared" si="52"/>
        <v>275</v>
      </c>
      <c r="G276" s="118" t="s">
        <v>201</v>
      </c>
      <c r="H276" s="118"/>
      <c r="I276" s="121">
        <f>I272</f>
        <v>18</v>
      </c>
      <c r="J276" s="121" t="str">
        <f>J271</f>
        <v>1250 mm</v>
      </c>
      <c r="K276" s="131">
        <v>1</v>
      </c>
      <c r="L276" s="131" t="s">
        <v>81</v>
      </c>
      <c r="M276" s="141">
        <f t="shared" si="62"/>
        <v>1.25</v>
      </c>
      <c r="N276" s="117" t="s">
        <v>139</v>
      </c>
      <c r="O276" s="175">
        <f>VLOOKUP(I276,BM!$A$2:$X$104,9,FALSE)</f>
        <v>1</v>
      </c>
      <c r="P276" s="117" t="s">
        <v>112</v>
      </c>
      <c r="Q276" s="163">
        <f t="shared" si="50"/>
        <v>1.25</v>
      </c>
      <c r="R276" s="161">
        <v>1</v>
      </c>
      <c r="S276" s="163">
        <f t="shared" si="51"/>
        <v>2.25</v>
      </c>
      <c r="T276" s="162" t="s">
        <v>48</v>
      </c>
    </row>
    <row r="277" spans="3:20" ht="20.25" customHeight="1">
      <c r="C277" s="109"/>
      <c r="D277" s="115">
        <f t="shared" si="60"/>
        <v>277</v>
      </c>
      <c r="E277" s="119" t="s">
        <v>296</v>
      </c>
      <c r="F277" s="121">
        <f t="shared" si="52"/>
        <v>276</v>
      </c>
      <c r="G277" s="118" t="s">
        <v>201</v>
      </c>
      <c r="H277" s="118"/>
      <c r="I277" s="121">
        <f>I272</f>
        <v>18</v>
      </c>
      <c r="J277" s="121" t="str">
        <f>J272</f>
        <v>0 mm</v>
      </c>
      <c r="K277" s="131">
        <v>1</v>
      </c>
      <c r="L277" s="131" t="s">
        <v>81</v>
      </c>
      <c r="M277" s="141">
        <f t="shared" si="62"/>
        <v>0</v>
      </c>
      <c r="N277" s="117" t="s">
        <v>139</v>
      </c>
      <c r="O277" s="175">
        <f>VLOOKUP(I277,BM!$A$2:$X$104,9,FALSE)</f>
        <v>1</v>
      </c>
      <c r="P277" s="117" t="s">
        <v>112</v>
      </c>
      <c r="Q277" s="163">
        <f t="shared" si="50"/>
        <v>0</v>
      </c>
      <c r="R277" s="161">
        <v>1</v>
      </c>
      <c r="S277" s="163">
        <f t="shared" si="51"/>
        <v>1</v>
      </c>
      <c r="T277" s="162" t="s">
        <v>48</v>
      </c>
    </row>
    <row r="278" spans="3:20" ht="20.25" customHeight="1">
      <c r="C278" s="109">
        <f>D278</f>
        <v>278</v>
      </c>
      <c r="D278" s="115">
        <f t="shared" si="60"/>
        <v>278</v>
      </c>
      <c r="E278" s="116" t="s">
        <v>759</v>
      </c>
      <c r="F278" s="121">
        <f>D273</f>
        <v>273</v>
      </c>
      <c r="G278" s="118"/>
      <c r="H278" s="118"/>
      <c r="I278" s="117"/>
      <c r="J278" s="117"/>
      <c r="K278" s="131"/>
      <c r="L278" s="131"/>
      <c r="M278" s="132"/>
      <c r="N278" s="117"/>
      <c r="O278" s="133"/>
      <c r="P278" s="117"/>
      <c r="Q278" s="163">
        <f t="shared" si="50"/>
        <v>0</v>
      </c>
      <c r="R278" s="161"/>
      <c r="S278" s="163">
        <f t="shared" si="51"/>
        <v>0</v>
      </c>
      <c r="T278" s="162"/>
    </row>
    <row r="279" spans="3:20" ht="20.25" customHeight="1">
      <c r="C279" s="109"/>
      <c r="D279" s="115">
        <f t="shared" si="60"/>
        <v>279</v>
      </c>
      <c r="E279" s="119" t="s">
        <v>298</v>
      </c>
      <c r="F279" s="121">
        <f t="shared" si="52"/>
        <v>278</v>
      </c>
      <c r="G279" s="118"/>
      <c r="H279" s="118"/>
      <c r="I279" s="121">
        <f>I277</f>
        <v>18</v>
      </c>
      <c r="J279" s="121" t="str">
        <f>J274</f>
        <v>2500 mm</v>
      </c>
      <c r="K279" s="131">
        <v>1</v>
      </c>
      <c r="L279" s="131" t="s">
        <v>81</v>
      </c>
      <c r="M279" s="141">
        <f t="shared" si="62"/>
        <v>2.5</v>
      </c>
      <c r="N279" s="117" t="s">
        <v>139</v>
      </c>
      <c r="O279" s="175">
        <f>VLOOKUP(I279,BM!$A$2:$X$104,10,FALSE)</f>
        <v>1</v>
      </c>
      <c r="P279" s="117" t="s">
        <v>112</v>
      </c>
      <c r="Q279" s="163">
        <f t="shared" si="50"/>
        <v>2.5</v>
      </c>
      <c r="R279" s="161">
        <v>1</v>
      </c>
      <c r="S279" s="163">
        <f t="shared" si="51"/>
        <v>3.5</v>
      </c>
      <c r="T279" s="162" t="s">
        <v>48</v>
      </c>
    </row>
    <row r="280" spans="3:20" ht="20.25" customHeight="1">
      <c r="C280" s="109"/>
      <c r="D280" s="115">
        <f t="shared" si="60"/>
        <v>280</v>
      </c>
      <c r="E280" s="119" t="s">
        <v>298</v>
      </c>
      <c r="F280" s="121">
        <f t="shared" si="52"/>
        <v>279</v>
      </c>
      <c r="G280" s="118" t="s">
        <v>299</v>
      </c>
      <c r="H280" s="118"/>
      <c r="I280" s="121">
        <f>I277</f>
        <v>18</v>
      </c>
      <c r="J280" s="121" t="str">
        <f>J275</f>
        <v>2500 mm</v>
      </c>
      <c r="K280" s="131">
        <v>1</v>
      </c>
      <c r="L280" s="131" t="s">
        <v>81</v>
      </c>
      <c r="M280" s="141">
        <f t="shared" si="62"/>
        <v>2.5</v>
      </c>
      <c r="N280" s="117" t="s">
        <v>139</v>
      </c>
      <c r="O280" s="175">
        <f>VLOOKUP(I280,BM!$A$2:$X$104,10,FALSE)</f>
        <v>1</v>
      </c>
      <c r="P280" s="117" t="s">
        <v>112</v>
      </c>
      <c r="Q280" s="163">
        <f t="shared" si="50"/>
        <v>2.5</v>
      </c>
      <c r="R280" s="161">
        <v>1</v>
      </c>
      <c r="S280" s="163">
        <f t="shared" si="51"/>
        <v>3.5</v>
      </c>
      <c r="T280" s="162" t="s">
        <v>48</v>
      </c>
    </row>
    <row r="281" spans="3:20" ht="20.25" customHeight="1">
      <c r="C281" s="109"/>
      <c r="D281" s="115">
        <f t="shared" si="60"/>
        <v>281</v>
      </c>
      <c r="E281" s="119" t="s">
        <v>298</v>
      </c>
      <c r="F281" s="121">
        <f t="shared" si="52"/>
        <v>280</v>
      </c>
      <c r="G281" s="118" t="s">
        <v>299</v>
      </c>
      <c r="H281" s="118"/>
      <c r="I281" s="121">
        <f>I277</f>
        <v>18</v>
      </c>
      <c r="J281" s="121" t="str">
        <f>J276</f>
        <v>1250 mm</v>
      </c>
      <c r="K281" s="131">
        <v>1</v>
      </c>
      <c r="L281" s="131" t="s">
        <v>81</v>
      </c>
      <c r="M281" s="141">
        <f t="shared" si="62"/>
        <v>1.25</v>
      </c>
      <c r="N281" s="117" t="s">
        <v>139</v>
      </c>
      <c r="O281" s="175">
        <f>VLOOKUP(I281,BM!$A$2:$X$104,10,FALSE)</f>
        <v>1</v>
      </c>
      <c r="P281" s="117" t="s">
        <v>112</v>
      </c>
      <c r="Q281" s="163">
        <f t="shared" si="50"/>
        <v>1.25</v>
      </c>
      <c r="R281" s="161">
        <v>1</v>
      </c>
      <c r="S281" s="163">
        <f t="shared" si="51"/>
        <v>2.25</v>
      </c>
      <c r="T281" s="162" t="s">
        <v>48</v>
      </c>
    </row>
    <row r="282" spans="3:20" ht="20.25" customHeight="1">
      <c r="C282" s="109"/>
      <c r="D282" s="115">
        <f t="shared" si="60"/>
        <v>282</v>
      </c>
      <c r="E282" s="119" t="s">
        <v>298</v>
      </c>
      <c r="F282" s="121">
        <f t="shared" si="52"/>
        <v>281</v>
      </c>
      <c r="G282" s="118" t="s">
        <v>299</v>
      </c>
      <c r="H282" s="118"/>
      <c r="I282" s="121">
        <f>I277</f>
        <v>18</v>
      </c>
      <c r="J282" s="121" t="str">
        <f>J277</f>
        <v>0 mm</v>
      </c>
      <c r="K282" s="131">
        <v>1</v>
      </c>
      <c r="L282" s="131" t="s">
        <v>81</v>
      </c>
      <c r="M282" s="141">
        <f t="shared" si="62"/>
        <v>0</v>
      </c>
      <c r="N282" s="117" t="s">
        <v>139</v>
      </c>
      <c r="O282" s="175">
        <f>VLOOKUP(I282,BM!$A$2:$X$104,10,FALSE)</f>
        <v>1</v>
      </c>
      <c r="P282" s="117" t="s">
        <v>112</v>
      </c>
      <c r="Q282" s="163">
        <f t="shared" si="50"/>
        <v>0</v>
      </c>
      <c r="R282" s="161">
        <v>1</v>
      </c>
      <c r="S282" s="163">
        <f t="shared" si="51"/>
        <v>1</v>
      </c>
      <c r="T282" s="162" t="s">
        <v>48</v>
      </c>
    </row>
    <row r="283" spans="3:20" ht="20.25" customHeight="1">
      <c r="C283" s="109">
        <f>D283</f>
        <v>283</v>
      </c>
      <c r="D283" s="115">
        <f t="shared" si="60"/>
        <v>283</v>
      </c>
      <c r="E283" s="116" t="s">
        <v>300</v>
      </c>
      <c r="F283" s="121">
        <f>D278</f>
        <v>278</v>
      </c>
      <c r="G283" s="118"/>
      <c r="H283" s="118"/>
      <c r="I283" s="117"/>
      <c r="J283" s="117"/>
      <c r="K283" s="131"/>
      <c r="L283" s="131"/>
      <c r="M283" s="132"/>
      <c r="N283" s="117"/>
      <c r="O283" s="133"/>
      <c r="P283" s="117"/>
      <c r="Q283" s="163"/>
      <c r="R283" s="161"/>
      <c r="S283" s="163"/>
      <c r="T283" s="162"/>
    </row>
    <row r="284" spans="3:20" ht="20.25" customHeight="1">
      <c r="C284" s="109"/>
      <c r="D284" s="115">
        <f t="shared" si="60"/>
        <v>284</v>
      </c>
      <c r="E284" s="119" t="s">
        <v>301</v>
      </c>
      <c r="F284" s="121">
        <f t="shared" si="52"/>
        <v>283</v>
      </c>
      <c r="G284" s="118" t="s">
        <v>44</v>
      </c>
      <c r="H284" s="118"/>
      <c r="I284" s="121">
        <f>I282</f>
        <v>18</v>
      </c>
      <c r="J284" s="121" t="str">
        <f>J279</f>
        <v>2500 mm</v>
      </c>
      <c r="K284" s="131">
        <v>1</v>
      </c>
      <c r="L284" s="131" t="s">
        <v>81</v>
      </c>
      <c r="M284" s="141">
        <v>1</v>
      </c>
      <c r="N284" s="117" t="s">
        <v>39</v>
      </c>
      <c r="O284" s="175">
        <f>VLOOKUP(I284,BM!$A$2:$X$104,11,FALSE)</f>
        <v>1</v>
      </c>
      <c r="P284" s="117" t="s">
        <v>112</v>
      </c>
      <c r="Q284" s="163">
        <f t="shared" ref="Q284:Q347" si="63">M284*O284</f>
        <v>1</v>
      </c>
      <c r="R284" s="161">
        <v>1</v>
      </c>
      <c r="S284" s="163">
        <f t="shared" ref="S284:S347" si="64">Q284+R284</f>
        <v>2</v>
      </c>
      <c r="T284" s="162" t="s">
        <v>48</v>
      </c>
    </row>
    <row r="285" spans="3:20" ht="20.25" customHeight="1">
      <c r="C285" s="109"/>
      <c r="D285" s="115">
        <f t="shared" si="60"/>
        <v>285</v>
      </c>
      <c r="E285" s="119" t="s">
        <v>301</v>
      </c>
      <c r="F285" s="121">
        <f t="shared" ref="F285:F348" si="65">D284</f>
        <v>284</v>
      </c>
      <c r="G285" s="118" t="s">
        <v>44</v>
      </c>
      <c r="H285" s="118"/>
      <c r="I285" s="121">
        <f>I282</f>
        <v>18</v>
      </c>
      <c r="J285" s="121" t="str">
        <f>J280</f>
        <v>2500 mm</v>
      </c>
      <c r="K285" s="131">
        <v>1</v>
      </c>
      <c r="L285" s="131" t="s">
        <v>81</v>
      </c>
      <c r="M285" s="141">
        <v>1</v>
      </c>
      <c r="N285" s="117" t="s">
        <v>39</v>
      </c>
      <c r="O285" s="175">
        <f>VLOOKUP(I285,BM!$A$2:$X$104,11,FALSE)</f>
        <v>1</v>
      </c>
      <c r="P285" s="117" t="s">
        <v>112</v>
      </c>
      <c r="Q285" s="163">
        <f t="shared" si="63"/>
        <v>1</v>
      </c>
      <c r="R285" s="161">
        <v>1</v>
      </c>
      <c r="S285" s="163">
        <f t="shared" si="64"/>
        <v>2</v>
      </c>
      <c r="T285" s="162" t="s">
        <v>48</v>
      </c>
    </row>
    <row r="286" spans="3:20" ht="20.25" customHeight="1">
      <c r="C286" s="109"/>
      <c r="D286" s="115">
        <f t="shared" si="60"/>
        <v>286</v>
      </c>
      <c r="E286" s="119" t="s">
        <v>301</v>
      </c>
      <c r="F286" s="121">
        <f t="shared" si="65"/>
        <v>285</v>
      </c>
      <c r="G286" s="118" t="s">
        <v>44</v>
      </c>
      <c r="H286" s="118"/>
      <c r="I286" s="121">
        <f>I282</f>
        <v>18</v>
      </c>
      <c r="J286" s="121" t="str">
        <f>J281</f>
        <v>1250 mm</v>
      </c>
      <c r="K286" s="131">
        <v>1</v>
      </c>
      <c r="L286" s="131" t="s">
        <v>81</v>
      </c>
      <c r="M286" s="141">
        <v>1</v>
      </c>
      <c r="N286" s="117" t="s">
        <v>39</v>
      </c>
      <c r="O286" s="175">
        <f>VLOOKUP(I286,BM!$A$2:$X$104,11,FALSE)</f>
        <v>1</v>
      </c>
      <c r="P286" s="117" t="s">
        <v>112</v>
      </c>
      <c r="Q286" s="163">
        <f t="shared" si="63"/>
        <v>1</v>
      </c>
      <c r="R286" s="161">
        <v>1</v>
      </c>
      <c r="S286" s="163">
        <f t="shared" si="64"/>
        <v>2</v>
      </c>
      <c r="T286" s="162" t="s">
        <v>48</v>
      </c>
    </row>
    <row r="287" spans="3:20" ht="20.25" customHeight="1">
      <c r="C287" s="109"/>
      <c r="D287" s="115">
        <f t="shared" si="60"/>
        <v>287</v>
      </c>
      <c r="E287" s="119" t="s">
        <v>301</v>
      </c>
      <c r="F287" s="121">
        <f t="shared" si="65"/>
        <v>286</v>
      </c>
      <c r="G287" s="118" t="s">
        <v>44</v>
      </c>
      <c r="H287" s="118"/>
      <c r="I287" s="121">
        <f>I282</f>
        <v>18</v>
      </c>
      <c r="J287" s="121" t="str">
        <f>J282</f>
        <v>0 mm</v>
      </c>
      <c r="K287" s="131">
        <v>1</v>
      </c>
      <c r="L287" s="131" t="s">
        <v>81</v>
      </c>
      <c r="M287" s="141">
        <v>1</v>
      </c>
      <c r="N287" s="117" t="s">
        <v>39</v>
      </c>
      <c r="O287" s="175">
        <f>VLOOKUP(I287,BM!$A$2:$X$104,11,FALSE)</f>
        <v>1</v>
      </c>
      <c r="P287" s="117" t="s">
        <v>112</v>
      </c>
      <c r="Q287" s="163">
        <f t="shared" si="63"/>
        <v>1</v>
      </c>
      <c r="R287" s="161">
        <v>1</v>
      </c>
      <c r="S287" s="163">
        <f t="shared" si="64"/>
        <v>2</v>
      </c>
      <c r="T287" s="162" t="s">
        <v>48</v>
      </c>
    </row>
    <row r="288" spans="3:20" ht="20.25" customHeight="1">
      <c r="C288" s="109">
        <f>D288</f>
        <v>288</v>
      </c>
      <c r="D288" s="115">
        <f t="shared" si="60"/>
        <v>288</v>
      </c>
      <c r="E288" s="116" t="s">
        <v>760</v>
      </c>
      <c r="F288" s="121">
        <f>D283</f>
        <v>283</v>
      </c>
      <c r="G288" s="118"/>
      <c r="H288" s="118"/>
      <c r="I288" s="117"/>
      <c r="J288" s="117"/>
      <c r="K288" s="131"/>
      <c r="L288" s="131"/>
      <c r="M288" s="132"/>
      <c r="N288" s="117"/>
      <c r="O288" s="133"/>
      <c r="P288" s="117"/>
      <c r="Q288" s="163"/>
      <c r="R288" s="161"/>
      <c r="S288" s="163"/>
      <c r="T288" s="162"/>
    </row>
    <row r="289" spans="3:20" ht="20.25" customHeight="1">
      <c r="C289" s="109"/>
      <c r="D289" s="115">
        <f t="shared" si="60"/>
        <v>289</v>
      </c>
      <c r="E289" s="119" t="s">
        <v>303</v>
      </c>
      <c r="F289" s="121">
        <f t="shared" si="65"/>
        <v>288</v>
      </c>
      <c r="G289" s="118" t="s">
        <v>115</v>
      </c>
      <c r="H289" s="118"/>
      <c r="I289" s="117">
        <v>12</v>
      </c>
      <c r="J289" s="121" t="str">
        <f>J284</f>
        <v>2500 mm</v>
      </c>
      <c r="K289" s="131">
        <v>1</v>
      </c>
      <c r="L289" s="131" t="s">
        <v>81</v>
      </c>
      <c r="M289" s="141">
        <f t="shared" si="62"/>
        <v>2.5</v>
      </c>
      <c r="N289" s="117" t="s">
        <v>139</v>
      </c>
      <c r="O289" s="175">
        <f>VLOOKUP(I289,BM!$A$2:$X$104,12,FALSE)</f>
        <v>2.5</v>
      </c>
      <c r="P289" s="117" t="s">
        <v>112</v>
      </c>
      <c r="Q289" s="163">
        <f t="shared" si="63"/>
        <v>6.25</v>
      </c>
      <c r="R289" s="161">
        <v>1</v>
      </c>
      <c r="S289" s="163">
        <f t="shared" si="64"/>
        <v>7.25</v>
      </c>
      <c r="T289" s="162" t="s">
        <v>48</v>
      </c>
    </row>
    <row r="290" spans="3:20" ht="20.25" customHeight="1">
      <c r="C290" s="109"/>
      <c r="D290" s="115">
        <f t="shared" si="60"/>
        <v>290</v>
      </c>
      <c r="E290" s="119" t="s">
        <v>303</v>
      </c>
      <c r="F290" s="121">
        <f t="shared" si="65"/>
        <v>289</v>
      </c>
      <c r="G290" s="118" t="s">
        <v>115</v>
      </c>
      <c r="H290" s="118"/>
      <c r="I290" s="121">
        <f>I289</f>
        <v>12</v>
      </c>
      <c r="J290" s="121" t="str">
        <f>J285</f>
        <v>2500 mm</v>
      </c>
      <c r="K290" s="131">
        <v>1</v>
      </c>
      <c r="L290" s="131" t="s">
        <v>81</v>
      </c>
      <c r="M290" s="141">
        <f t="shared" si="62"/>
        <v>2.5</v>
      </c>
      <c r="N290" s="117" t="s">
        <v>139</v>
      </c>
      <c r="O290" s="175">
        <f>VLOOKUP(I290,BM!$A$2:$X$104,12,FALSE)</f>
        <v>2.5</v>
      </c>
      <c r="P290" s="117" t="s">
        <v>112</v>
      </c>
      <c r="Q290" s="163">
        <f t="shared" si="63"/>
        <v>6.25</v>
      </c>
      <c r="R290" s="161">
        <v>1</v>
      </c>
      <c r="S290" s="163">
        <f t="shared" si="64"/>
        <v>7.25</v>
      </c>
      <c r="T290" s="162" t="s">
        <v>48</v>
      </c>
    </row>
    <row r="291" spans="3:20" ht="20.25" customHeight="1">
      <c r="C291" s="109"/>
      <c r="D291" s="115">
        <f t="shared" si="60"/>
        <v>291</v>
      </c>
      <c r="E291" s="119" t="s">
        <v>303</v>
      </c>
      <c r="F291" s="121">
        <f t="shared" si="65"/>
        <v>290</v>
      </c>
      <c r="G291" s="118" t="s">
        <v>115</v>
      </c>
      <c r="H291" s="118"/>
      <c r="I291" s="121">
        <f>I290</f>
        <v>12</v>
      </c>
      <c r="J291" s="121" t="str">
        <f>J286</f>
        <v>1250 mm</v>
      </c>
      <c r="K291" s="131">
        <v>1</v>
      </c>
      <c r="L291" s="131" t="s">
        <v>81</v>
      </c>
      <c r="M291" s="141">
        <f t="shared" si="62"/>
        <v>1.25</v>
      </c>
      <c r="N291" s="117" t="s">
        <v>139</v>
      </c>
      <c r="O291" s="175">
        <f>VLOOKUP(I291,BM!$A$2:$X$104,12,FALSE)</f>
        <v>2.5</v>
      </c>
      <c r="P291" s="117" t="s">
        <v>112</v>
      </c>
      <c r="Q291" s="163">
        <f t="shared" si="63"/>
        <v>3.125</v>
      </c>
      <c r="R291" s="161">
        <v>1</v>
      </c>
      <c r="S291" s="163">
        <f t="shared" si="64"/>
        <v>4.125</v>
      </c>
      <c r="T291" s="162" t="s">
        <v>48</v>
      </c>
    </row>
    <row r="292" spans="3:20" ht="20.25" customHeight="1">
      <c r="C292" s="109"/>
      <c r="D292" s="115">
        <f t="shared" si="60"/>
        <v>292</v>
      </c>
      <c r="E292" s="119" t="s">
        <v>303</v>
      </c>
      <c r="F292" s="121">
        <f t="shared" si="65"/>
        <v>291</v>
      </c>
      <c r="G292" s="118" t="s">
        <v>115</v>
      </c>
      <c r="H292" s="118"/>
      <c r="I292" s="121">
        <f>I291</f>
        <v>12</v>
      </c>
      <c r="J292" s="121" t="str">
        <f>J287</f>
        <v>0 mm</v>
      </c>
      <c r="K292" s="131">
        <v>1</v>
      </c>
      <c r="L292" s="131" t="s">
        <v>81</v>
      </c>
      <c r="M292" s="141">
        <f t="shared" si="62"/>
        <v>0</v>
      </c>
      <c r="N292" s="117" t="s">
        <v>139</v>
      </c>
      <c r="O292" s="175">
        <f>VLOOKUP(I292,BM!$A$2:$X$104,12,FALSE)</f>
        <v>2.5</v>
      </c>
      <c r="P292" s="117" t="s">
        <v>112</v>
      </c>
      <c r="Q292" s="163">
        <f t="shared" si="63"/>
        <v>0</v>
      </c>
      <c r="R292" s="161">
        <v>1</v>
      </c>
      <c r="S292" s="163">
        <f t="shared" si="64"/>
        <v>1</v>
      </c>
      <c r="T292" s="162" t="s">
        <v>48</v>
      </c>
    </row>
    <row r="293" spans="3:20" ht="20.25" customHeight="1">
      <c r="C293" s="109">
        <f>D293</f>
        <v>293</v>
      </c>
      <c r="D293" s="115">
        <f t="shared" si="60"/>
        <v>293</v>
      </c>
      <c r="E293" s="116" t="s">
        <v>304</v>
      </c>
      <c r="F293" s="121">
        <f>D288</f>
        <v>288</v>
      </c>
      <c r="G293" s="118"/>
      <c r="H293" s="118"/>
      <c r="I293" s="117"/>
      <c r="J293" s="117"/>
      <c r="K293" s="131"/>
      <c r="L293" s="131"/>
      <c r="M293" s="132"/>
      <c r="N293" s="117"/>
      <c r="O293" s="133"/>
      <c r="P293" s="117"/>
      <c r="Q293" s="163"/>
      <c r="R293" s="161"/>
      <c r="S293" s="163"/>
      <c r="T293" s="162"/>
    </row>
    <row r="294" spans="3:20" ht="20.25" customHeight="1">
      <c r="C294" s="109"/>
      <c r="D294" s="115">
        <f t="shared" si="60"/>
        <v>294</v>
      </c>
      <c r="E294" s="119" t="s">
        <v>305</v>
      </c>
      <c r="F294" s="121">
        <f t="shared" si="65"/>
        <v>293</v>
      </c>
      <c r="G294" s="118" t="s">
        <v>61</v>
      </c>
      <c r="H294" s="118"/>
      <c r="I294" s="117">
        <v>18</v>
      </c>
      <c r="J294" s="121" t="str">
        <f>J289</f>
        <v>2500 mm</v>
      </c>
      <c r="K294" s="131">
        <v>1</v>
      </c>
      <c r="L294" s="131" t="s">
        <v>81</v>
      </c>
      <c r="M294" s="141">
        <f t="shared" si="62"/>
        <v>2.5</v>
      </c>
      <c r="N294" s="117" t="s">
        <v>139</v>
      </c>
      <c r="O294" s="175">
        <f>VLOOKUP(I294,BM!$A$2:$X$104,18,FALSE)</f>
        <v>1</v>
      </c>
      <c r="P294" s="117" t="s">
        <v>112</v>
      </c>
      <c r="Q294" s="163">
        <f t="shared" si="63"/>
        <v>2.5</v>
      </c>
      <c r="R294" s="161">
        <v>1</v>
      </c>
      <c r="S294" s="163">
        <f t="shared" si="64"/>
        <v>3.5</v>
      </c>
      <c r="T294" s="162" t="s">
        <v>48</v>
      </c>
    </row>
    <row r="295" spans="3:20" ht="20.25" customHeight="1">
      <c r="C295" s="109"/>
      <c r="D295" s="115">
        <f t="shared" si="60"/>
        <v>295</v>
      </c>
      <c r="E295" s="119" t="s">
        <v>305</v>
      </c>
      <c r="F295" s="121">
        <f t="shared" si="65"/>
        <v>294</v>
      </c>
      <c r="G295" s="118" t="s">
        <v>61</v>
      </c>
      <c r="H295" s="118"/>
      <c r="I295" s="117">
        <v>18</v>
      </c>
      <c r="J295" s="121" t="str">
        <f>J290</f>
        <v>2500 mm</v>
      </c>
      <c r="K295" s="131">
        <v>1</v>
      </c>
      <c r="L295" s="131" t="s">
        <v>81</v>
      </c>
      <c r="M295" s="141">
        <f t="shared" si="62"/>
        <v>2.5</v>
      </c>
      <c r="N295" s="117" t="s">
        <v>139</v>
      </c>
      <c r="O295" s="175">
        <f>VLOOKUP(I295,BM!$A$2:$X$104,18,FALSE)</f>
        <v>1</v>
      </c>
      <c r="P295" s="117" t="s">
        <v>112</v>
      </c>
      <c r="Q295" s="163">
        <f t="shared" si="63"/>
        <v>2.5</v>
      </c>
      <c r="R295" s="161">
        <v>1</v>
      </c>
      <c r="S295" s="163">
        <f t="shared" si="64"/>
        <v>3.5</v>
      </c>
      <c r="T295" s="162" t="s">
        <v>48</v>
      </c>
    </row>
    <row r="296" spans="3:20" ht="20.25" customHeight="1">
      <c r="C296" s="109"/>
      <c r="D296" s="115">
        <f t="shared" si="60"/>
        <v>296</v>
      </c>
      <c r="E296" s="119" t="s">
        <v>305</v>
      </c>
      <c r="F296" s="121">
        <f t="shared" si="65"/>
        <v>295</v>
      </c>
      <c r="G296" s="118" t="s">
        <v>61</v>
      </c>
      <c r="H296" s="118"/>
      <c r="I296" s="117">
        <v>18</v>
      </c>
      <c r="J296" s="121" t="str">
        <f>J291</f>
        <v>1250 mm</v>
      </c>
      <c r="K296" s="131">
        <v>1</v>
      </c>
      <c r="L296" s="131" t="s">
        <v>81</v>
      </c>
      <c r="M296" s="141">
        <f t="shared" si="62"/>
        <v>1.25</v>
      </c>
      <c r="N296" s="117" t="s">
        <v>139</v>
      </c>
      <c r="O296" s="175">
        <f>VLOOKUP(I296,BM!$A$2:$X$104,18,FALSE)</f>
        <v>1</v>
      </c>
      <c r="P296" s="117" t="s">
        <v>112</v>
      </c>
      <c r="Q296" s="163">
        <f t="shared" si="63"/>
        <v>1.25</v>
      </c>
      <c r="R296" s="161">
        <v>1</v>
      </c>
      <c r="S296" s="163">
        <f t="shared" si="64"/>
        <v>2.25</v>
      </c>
      <c r="T296" s="162" t="s">
        <v>48</v>
      </c>
    </row>
    <row r="297" spans="3:20" ht="20.25" customHeight="1">
      <c r="C297" s="109"/>
      <c r="D297" s="115">
        <f t="shared" si="60"/>
        <v>297</v>
      </c>
      <c r="E297" s="119" t="s">
        <v>305</v>
      </c>
      <c r="F297" s="121">
        <f t="shared" si="65"/>
        <v>296</v>
      </c>
      <c r="G297" s="118" t="s">
        <v>61</v>
      </c>
      <c r="H297" s="118"/>
      <c r="I297" s="117">
        <v>18</v>
      </c>
      <c r="J297" s="121" t="str">
        <f>J292</f>
        <v>0 mm</v>
      </c>
      <c r="K297" s="131">
        <v>1</v>
      </c>
      <c r="L297" s="131" t="s">
        <v>81</v>
      </c>
      <c r="M297" s="141">
        <f t="shared" si="62"/>
        <v>0</v>
      </c>
      <c r="N297" s="117" t="s">
        <v>139</v>
      </c>
      <c r="O297" s="175">
        <f>VLOOKUP(I297,BM!$A$2:$X$104,18,FALSE)</f>
        <v>1</v>
      </c>
      <c r="P297" s="117" t="s">
        <v>112</v>
      </c>
      <c r="Q297" s="163">
        <f t="shared" si="63"/>
        <v>0</v>
      </c>
      <c r="R297" s="161">
        <v>1</v>
      </c>
      <c r="S297" s="163">
        <f t="shared" si="64"/>
        <v>1</v>
      </c>
      <c r="T297" s="162" t="s">
        <v>48</v>
      </c>
    </row>
    <row r="298" spans="3:20" ht="20.25" customHeight="1">
      <c r="C298" s="109">
        <f>D298</f>
        <v>298</v>
      </c>
      <c r="D298" s="115">
        <f t="shared" si="60"/>
        <v>298</v>
      </c>
      <c r="E298" s="116" t="s">
        <v>306</v>
      </c>
      <c r="F298" s="121">
        <f>D293</f>
        <v>293</v>
      </c>
      <c r="G298" s="118"/>
      <c r="H298" s="118"/>
      <c r="I298" s="117"/>
      <c r="J298" s="117"/>
      <c r="K298" s="131"/>
      <c r="L298" s="131"/>
      <c r="M298" s="132"/>
      <c r="N298" s="117"/>
      <c r="O298" s="133"/>
      <c r="P298" s="117"/>
      <c r="Q298" s="163"/>
      <c r="R298" s="161"/>
      <c r="S298" s="163"/>
      <c r="T298" s="162"/>
    </row>
    <row r="299" spans="3:20" ht="20.25" customHeight="1">
      <c r="C299" s="109"/>
      <c r="D299" s="115">
        <f t="shared" si="60"/>
        <v>299</v>
      </c>
      <c r="E299" s="119" t="s">
        <v>307</v>
      </c>
      <c r="F299" s="121">
        <f t="shared" si="65"/>
        <v>298</v>
      </c>
      <c r="G299" s="118" t="s">
        <v>115</v>
      </c>
      <c r="H299" s="118"/>
      <c r="I299" s="117">
        <v>6</v>
      </c>
      <c r="J299" s="121" t="str">
        <f>J294</f>
        <v>2500 mm</v>
      </c>
      <c r="K299" s="131">
        <v>1</v>
      </c>
      <c r="L299" s="131" t="s">
        <v>81</v>
      </c>
      <c r="M299" s="141">
        <f t="shared" si="62"/>
        <v>2.5</v>
      </c>
      <c r="N299" s="117" t="s">
        <v>139</v>
      </c>
      <c r="O299" s="175">
        <f>VLOOKUP(I299,BM!$A$2:$X$104,12,FALSE)</f>
        <v>0.9</v>
      </c>
      <c r="P299" s="117" t="s">
        <v>112</v>
      </c>
      <c r="Q299" s="163">
        <f t="shared" si="63"/>
        <v>2.25</v>
      </c>
      <c r="R299" s="161">
        <v>1</v>
      </c>
      <c r="S299" s="163">
        <f t="shared" si="64"/>
        <v>3.25</v>
      </c>
      <c r="T299" s="162" t="s">
        <v>48</v>
      </c>
    </row>
    <row r="300" spans="3:20" ht="20.25" customHeight="1">
      <c r="C300" s="109"/>
      <c r="D300" s="115">
        <f t="shared" si="60"/>
        <v>300</v>
      </c>
      <c r="E300" s="119" t="s">
        <v>307</v>
      </c>
      <c r="F300" s="121">
        <f t="shared" si="65"/>
        <v>299</v>
      </c>
      <c r="G300" s="118" t="s">
        <v>115</v>
      </c>
      <c r="H300" s="118"/>
      <c r="I300" s="121">
        <f>I299</f>
        <v>6</v>
      </c>
      <c r="J300" s="121" t="str">
        <f>J295</f>
        <v>2500 mm</v>
      </c>
      <c r="K300" s="131">
        <v>1</v>
      </c>
      <c r="L300" s="131" t="s">
        <v>81</v>
      </c>
      <c r="M300" s="141">
        <f t="shared" si="62"/>
        <v>2.5</v>
      </c>
      <c r="N300" s="117" t="s">
        <v>139</v>
      </c>
      <c r="O300" s="175">
        <f>VLOOKUP(I300,BM!$A$2:$X$104,12,FALSE)</f>
        <v>0.9</v>
      </c>
      <c r="P300" s="117" t="s">
        <v>112</v>
      </c>
      <c r="Q300" s="163">
        <f t="shared" si="63"/>
        <v>2.25</v>
      </c>
      <c r="R300" s="161">
        <v>1</v>
      </c>
      <c r="S300" s="163">
        <f t="shared" si="64"/>
        <v>3.25</v>
      </c>
      <c r="T300" s="162" t="s">
        <v>48</v>
      </c>
    </row>
    <row r="301" spans="3:20" ht="20.25" customHeight="1">
      <c r="C301" s="109"/>
      <c r="D301" s="115">
        <f t="shared" si="60"/>
        <v>301</v>
      </c>
      <c r="E301" s="119" t="s">
        <v>307</v>
      </c>
      <c r="F301" s="121">
        <f t="shared" si="65"/>
        <v>300</v>
      </c>
      <c r="G301" s="118" t="s">
        <v>115</v>
      </c>
      <c r="H301" s="118"/>
      <c r="I301" s="121">
        <f>I300</f>
        <v>6</v>
      </c>
      <c r="J301" s="121" t="str">
        <f>J296</f>
        <v>1250 mm</v>
      </c>
      <c r="K301" s="131">
        <v>1</v>
      </c>
      <c r="L301" s="131" t="s">
        <v>81</v>
      </c>
      <c r="M301" s="141">
        <f t="shared" si="62"/>
        <v>1.25</v>
      </c>
      <c r="N301" s="117" t="s">
        <v>139</v>
      </c>
      <c r="O301" s="175">
        <f>VLOOKUP(I301,BM!$A$2:$X$104,12,FALSE)</f>
        <v>0.9</v>
      </c>
      <c r="P301" s="117" t="s">
        <v>112</v>
      </c>
      <c r="Q301" s="163">
        <f t="shared" si="63"/>
        <v>1.125</v>
      </c>
      <c r="R301" s="161">
        <v>1</v>
      </c>
      <c r="S301" s="163">
        <f t="shared" si="64"/>
        <v>2.125</v>
      </c>
      <c r="T301" s="162" t="s">
        <v>48</v>
      </c>
    </row>
    <row r="302" spans="3:20" ht="20.25" customHeight="1">
      <c r="C302" s="109"/>
      <c r="D302" s="115">
        <f t="shared" si="60"/>
        <v>302</v>
      </c>
      <c r="E302" s="119" t="s">
        <v>307</v>
      </c>
      <c r="F302" s="121">
        <f t="shared" si="65"/>
        <v>301</v>
      </c>
      <c r="G302" s="118" t="s">
        <v>115</v>
      </c>
      <c r="H302" s="118"/>
      <c r="I302" s="121">
        <f>I301</f>
        <v>6</v>
      </c>
      <c r="J302" s="121" t="str">
        <f>J297</f>
        <v>0 mm</v>
      </c>
      <c r="K302" s="131">
        <v>1</v>
      </c>
      <c r="L302" s="131" t="s">
        <v>81</v>
      </c>
      <c r="M302" s="141">
        <f t="shared" si="62"/>
        <v>0</v>
      </c>
      <c r="N302" s="117" t="s">
        <v>139</v>
      </c>
      <c r="O302" s="175">
        <f>VLOOKUP(I302,BM!$A$2:$X$104,12,FALSE)</f>
        <v>0.9</v>
      </c>
      <c r="P302" s="117" t="s">
        <v>112</v>
      </c>
      <c r="Q302" s="163">
        <f t="shared" si="63"/>
        <v>0</v>
      </c>
      <c r="R302" s="161">
        <v>1</v>
      </c>
      <c r="S302" s="163">
        <f t="shared" si="64"/>
        <v>1</v>
      </c>
      <c r="T302" s="162" t="s">
        <v>48</v>
      </c>
    </row>
    <row r="303" spans="3:20" ht="20.25" customHeight="1">
      <c r="C303" s="109">
        <f>D303</f>
        <v>303</v>
      </c>
      <c r="D303" s="115">
        <f t="shared" si="60"/>
        <v>303</v>
      </c>
      <c r="E303" s="116" t="s">
        <v>308</v>
      </c>
      <c r="F303" s="121">
        <f>D298</f>
        <v>298</v>
      </c>
      <c r="G303" s="118"/>
      <c r="H303" s="118"/>
      <c r="I303" s="117"/>
      <c r="J303" s="117"/>
      <c r="K303" s="131"/>
      <c r="L303" s="131"/>
      <c r="M303" s="132"/>
      <c r="N303" s="117"/>
      <c r="O303" s="133"/>
      <c r="P303" s="117"/>
      <c r="Q303" s="163"/>
      <c r="R303" s="161"/>
      <c r="S303" s="163"/>
      <c r="T303" s="162"/>
    </row>
    <row r="304" spans="3:20" ht="20.25" customHeight="1">
      <c r="C304" s="109"/>
      <c r="D304" s="115">
        <f t="shared" si="60"/>
        <v>304</v>
      </c>
      <c r="E304" s="119" t="s">
        <v>309</v>
      </c>
      <c r="F304" s="121">
        <f t="shared" si="65"/>
        <v>303</v>
      </c>
      <c r="G304" s="118" t="s">
        <v>61</v>
      </c>
      <c r="H304" s="118"/>
      <c r="I304" s="121">
        <f>I294</f>
        <v>18</v>
      </c>
      <c r="J304" s="121" t="str">
        <f>J299</f>
        <v>2500 mm</v>
      </c>
      <c r="K304" s="131">
        <v>1</v>
      </c>
      <c r="L304" s="131" t="s">
        <v>81</v>
      </c>
      <c r="M304" s="141">
        <f t="shared" si="62"/>
        <v>2.5</v>
      </c>
      <c r="N304" s="117" t="s">
        <v>139</v>
      </c>
      <c r="O304" s="175">
        <f>VLOOKUP(I304,BM!$A$2:$X$104,20,FALSE)</f>
        <v>0.5</v>
      </c>
      <c r="P304" s="117" t="s">
        <v>112</v>
      </c>
      <c r="Q304" s="163">
        <f t="shared" si="63"/>
        <v>1.25</v>
      </c>
      <c r="R304" s="161">
        <v>1</v>
      </c>
      <c r="S304" s="163">
        <f t="shared" si="64"/>
        <v>2.25</v>
      </c>
      <c r="T304" s="162" t="s">
        <v>48</v>
      </c>
    </row>
    <row r="305" spans="3:20" ht="20.25" customHeight="1">
      <c r="C305" s="109"/>
      <c r="D305" s="115">
        <f t="shared" si="60"/>
        <v>305</v>
      </c>
      <c r="E305" s="119" t="s">
        <v>309</v>
      </c>
      <c r="F305" s="121">
        <f t="shared" si="65"/>
        <v>304</v>
      </c>
      <c r="G305" s="118" t="s">
        <v>61</v>
      </c>
      <c r="H305" s="118"/>
      <c r="I305" s="121">
        <f t="shared" ref="I305:I307" si="66">I304</f>
        <v>18</v>
      </c>
      <c r="J305" s="121" t="str">
        <f>J300</f>
        <v>2500 mm</v>
      </c>
      <c r="K305" s="131">
        <v>1</v>
      </c>
      <c r="L305" s="131" t="s">
        <v>81</v>
      </c>
      <c r="M305" s="141">
        <f t="shared" si="62"/>
        <v>2.5</v>
      </c>
      <c r="N305" s="117" t="s">
        <v>139</v>
      </c>
      <c r="O305" s="175">
        <f>VLOOKUP(I305,BM!$A$2:$X$104,20,FALSE)</f>
        <v>0.5</v>
      </c>
      <c r="P305" s="117" t="s">
        <v>112</v>
      </c>
      <c r="Q305" s="163">
        <f t="shared" si="63"/>
        <v>1.25</v>
      </c>
      <c r="R305" s="161">
        <v>1</v>
      </c>
      <c r="S305" s="163">
        <f t="shared" si="64"/>
        <v>2.25</v>
      </c>
      <c r="T305" s="162" t="s">
        <v>48</v>
      </c>
    </row>
    <row r="306" spans="3:20" ht="20.25" customHeight="1">
      <c r="C306" s="109"/>
      <c r="D306" s="115">
        <f t="shared" si="60"/>
        <v>306</v>
      </c>
      <c r="E306" s="119" t="s">
        <v>309</v>
      </c>
      <c r="F306" s="121">
        <f t="shared" si="65"/>
        <v>305</v>
      </c>
      <c r="G306" s="118" t="s">
        <v>61</v>
      </c>
      <c r="H306" s="118"/>
      <c r="I306" s="121">
        <f t="shared" si="66"/>
        <v>18</v>
      </c>
      <c r="J306" s="121" t="str">
        <f>J301</f>
        <v>1250 mm</v>
      </c>
      <c r="K306" s="131">
        <v>1</v>
      </c>
      <c r="L306" s="131" t="s">
        <v>81</v>
      </c>
      <c r="M306" s="141">
        <f t="shared" si="62"/>
        <v>1.25</v>
      </c>
      <c r="N306" s="117" t="s">
        <v>139</v>
      </c>
      <c r="O306" s="175">
        <f>VLOOKUP(I306,BM!$A$2:$X$104,20,FALSE)</f>
        <v>0.5</v>
      </c>
      <c r="P306" s="117" t="s">
        <v>112</v>
      </c>
      <c r="Q306" s="163">
        <f t="shared" si="63"/>
        <v>0.625</v>
      </c>
      <c r="R306" s="161">
        <v>1</v>
      </c>
      <c r="S306" s="163">
        <f t="shared" si="64"/>
        <v>1.625</v>
      </c>
      <c r="T306" s="162" t="s">
        <v>48</v>
      </c>
    </row>
    <row r="307" spans="3:20" ht="20.25" customHeight="1">
      <c r="C307" s="109"/>
      <c r="D307" s="115">
        <f t="shared" si="60"/>
        <v>307</v>
      </c>
      <c r="E307" s="119" t="s">
        <v>309</v>
      </c>
      <c r="F307" s="121">
        <f t="shared" si="65"/>
        <v>306</v>
      </c>
      <c r="G307" s="118" t="s">
        <v>61</v>
      </c>
      <c r="H307" s="118"/>
      <c r="I307" s="121">
        <f t="shared" si="66"/>
        <v>18</v>
      </c>
      <c r="J307" s="121" t="str">
        <f>J302</f>
        <v>0 mm</v>
      </c>
      <c r="K307" s="131">
        <v>1</v>
      </c>
      <c r="L307" s="131" t="s">
        <v>81</v>
      </c>
      <c r="M307" s="141">
        <f t="shared" si="62"/>
        <v>0</v>
      </c>
      <c r="N307" s="117" t="s">
        <v>139</v>
      </c>
      <c r="O307" s="175">
        <f>VLOOKUP(I307,BM!$A$2:$X$104,20,FALSE)</f>
        <v>0.5</v>
      </c>
      <c r="P307" s="117" t="s">
        <v>112</v>
      </c>
      <c r="Q307" s="163">
        <f t="shared" si="63"/>
        <v>0</v>
      </c>
      <c r="R307" s="161">
        <v>1</v>
      </c>
      <c r="S307" s="163">
        <f t="shared" si="64"/>
        <v>1</v>
      </c>
      <c r="T307" s="162" t="s">
        <v>48</v>
      </c>
    </row>
    <row r="308" spans="3:20" ht="20.25" customHeight="1">
      <c r="C308" s="109">
        <f>D308</f>
        <v>308</v>
      </c>
      <c r="D308" s="115">
        <f t="shared" si="60"/>
        <v>308</v>
      </c>
      <c r="E308" s="116" t="s">
        <v>310</v>
      </c>
      <c r="F308" s="121">
        <f>D303</f>
        <v>303</v>
      </c>
      <c r="G308" s="118"/>
      <c r="H308" s="118"/>
      <c r="I308" s="117"/>
      <c r="J308" s="117"/>
      <c r="K308" s="131"/>
      <c r="L308" s="131"/>
      <c r="M308" s="132"/>
      <c r="N308" s="117"/>
      <c r="O308" s="133"/>
      <c r="P308" s="117"/>
      <c r="Q308" s="163"/>
      <c r="R308" s="161"/>
      <c r="S308" s="163"/>
      <c r="T308" s="162"/>
    </row>
    <row r="309" spans="3:20" ht="20.25" customHeight="1">
      <c r="C309" s="109"/>
      <c r="D309" s="115">
        <f t="shared" si="60"/>
        <v>309</v>
      </c>
      <c r="E309" s="119" t="s">
        <v>311</v>
      </c>
      <c r="F309" s="121">
        <f t="shared" si="65"/>
        <v>308</v>
      </c>
      <c r="G309" s="118" t="s">
        <v>312</v>
      </c>
      <c r="H309" s="118"/>
      <c r="I309" s="121">
        <f>I307</f>
        <v>18</v>
      </c>
      <c r="J309" s="121" t="str">
        <f>J304</f>
        <v>2500 mm</v>
      </c>
      <c r="K309" s="131">
        <v>1</v>
      </c>
      <c r="L309" s="131" t="s">
        <v>81</v>
      </c>
      <c r="M309" s="132">
        <v>1</v>
      </c>
      <c r="N309" s="117" t="s">
        <v>39</v>
      </c>
      <c r="O309" s="133">
        <v>1</v>
      </c>
      <c r="P309" s="117" t="s">
        <v>41</v>
      </c>
      <c r="Q309" s="163">
        <f t="shared" si="63"/>
        <v>1</v>
      </c>
      <c r="R309" s="161"/>
      <c r="S309" s="163">
        <f t="shared" si="64"/>
        <v>1</v>
      </c>
      <c r="T309" s="165" t="s">
        <v>41</v>
      </c>
    </row>
    <row r="310" spans="3:20" ht="20.25" customHeight="1">
      <c r="C310" s="109"/>
      <c r="D310" s="115">
        <f t="shared" si="60"/>
        <v>310</v>
      </c>
      <c r="E310" s="119" t="s">
        <v>311</v>
      </c>
      <c r="F310" s="121">
        <f t="shared" si="65"/>
        <v>309</v>
      </c>
      <c r="G310" s="118" t="s">
        <v>312</v>
      </c>
      <c r="H310" s="118"/>
      <c r="I310" s="121">
        <f t="shared" ref="I310:I312" si="67">I309</f>
        <v>18</v>
      </c>
      <c r="J310" s="121" t="str">
        <f>J305</f>
        <v>2500 mm</v>
      </c>
      <c r="K310" s="131">
        <v>1</v>
      </c>
      <c r="L310" s="131" t="s">
        <v>81</v>
      </c>
      <c r="M310" s="132">
        <v>1</v>
      </c>
      <c r="N310" s="117" t="s">
        <v>39</v>
      </c>
      <c r="O310" s="175">
        <f t="shared" ref="O310:P312" si="68">O309</f>
        <v>1</v>
      </c>
      <c r="P310" s="121" t="str">
        <f t="shared" si="68"/>
        <v>Day</v>
      </c>
      <c r="Q310" s="163">
        <f t="shared" si="63"/>
        <v>1</v>
      </c>
      <c r="R310" s="161"/>
      <c r="S310" s="163">
        <f t="shared" si="64"/>
        <v>1</v>
      </c>
      <c r="T310" s="165" t="s">
        <v>41</v>
      </c>
    </row>
    <row r="311" spans="3:20" ht="20.25" customHeight="1">
      <c r="C311" s="109"/>
      <c r="D311" s="115">
        <f t="shared" si="60"/>
        <v>311</v>
      </c>
      <c r="E311" s="119" t="s">
        <v>311</v>
      </c>
      <c r="F311" s="121">
        <f t="shared" si="65"/>
        <v>310</v>
      </c>
      <c r="G311" s="118" t="s">
        <v>312</v>
      </c>
      <c r="H311" s="118"/>
      <c r="I311" s="121">
        <f t="shared" si="67"/>
        <v>18</v>
      </c>
      <c r="J311" s="121" t="str">
        <f>J306</f>
        <v>1250 mm</v>
      </c>
      <c r="K311" s="131">
        <v>1</v>
      </c>
      <c r="L311" s="131" t="s">
        <v>81</v>
      </c>
      <c r="M311" s="132">
        <v>1</v>
      </c>
      <c r="N311" s="117" t="s">
        <v>39</v>
      </c>
      <c r="O311" s="175">
        <f t="shared" si="68"/>
        <v>1</v>
      </c>
      <c r="P311" s="121" t="str">
        <f t="shared" si="68"/>
        <v>Day</v>
      </c>
      <c r="Q311" s="163">
        <f t="shared" si="63"/>
        <v>1</v>
      </c>
      <c r="R311" s="161"/>
      <c r="S311" s="163">
        <f t="shared" si="64"/>
        <v>1</v>
      </c>
      <c r="T311" s="165" t="s">
        <v>41</v>
      </c>
    </row>
    <row r="312" spans="3:20" ht="20.25" customHeight="1">
      <c r="C312" s="109"/>
      <c r="D312" s="115">
        <f t="shared" si="60"/>
        <v>312</v>
      </c>
      <c r="E312" s="119" t="s">
        <v>311</v>
      </c>
      <c r="F312" s="121">
        <f t="shared" si="65"/>
        <v>311</v>
      </c>
      <c r="G312" s="118" t="s">
        <v>312</v>
      </c>
      <c r="H312" s="118"/>
      <c r="I312" s="121">
        <f t="shared" si="67"/>
        <v>18</v>
      </c>
      <c r="J312" s="121" t="str">
        <f>J307</f>
        <v>0 mm</v>
      </c>
      <c r="K312" s="131">
        <v>1</v>
      </c>
      <c r="L312" s="131" t="s">
        <v>81</v>
      </c>
      <c r="M312" s="132">
        <v>1</v>
      </c>
      <c r="N312" s="117" t="s">
        <v>39</v>
      </c>
      <c r="O312" s="175">
        <f t="shared" si="68"/>
        <v>1</v>
      </c>
      <c r="P312" s="121" t="str">
        <f t="shared" si="68"/>
        <v>Day</v>
      </c>
      <c r="Q312" s="163">
        <f t="shared" si="63"/>
        <v>1</v>
      </c>
      <c r="R312" s="161"/>
      <c r="S312" s="163">
        <f t="shared" si="64"/>
        <v>1</v>
      </c>
      <c r="T312" s="165" t="s">
        <v>41</v>
      </c>
    </row>
    <row r="313" spans="3:20" ht="20.25" customHeight="1">
      <c r="C313" s="109">
        <f>D313</f>
        <v>313</v>
      </c>
      <c r="D313" s="115">
        <f t="shared" si="60"/>
        <v>313</v>
      </c>
      <c r="E313" s="116" t="s">
        <v>314</v>
      </c>
      <c r="F313" s="121">
        <f>D308</f>
        <v>308</v>
      </c>
      <c r="G313" s="118"/>
      <c r="H313" s="118"/>
      <c r="I313" s="117"/>
      <c r="J313" s="117"/>
      <c r="K313" s="131"/>
      <c r="L313" s="131"/>
      <c r="M313" s="132"/>
      <c r="N313" s="117"/>
      <c r="O313" s="133"/>
      <c r="P313" s="117"/>
      <c r="Q313" s="163">
        <f t="shared" si="63"/>
        <v>0</v>
      </c>
      <c r="R313" s="161"/>
      <c r="S313" s="163"/>
      <c r="T313" s="162"/>
    </row>
    <row r="314" spans="3:20" ht="20.25" customHeight="1">
      <c r="C314" s="109"/>
      <c r="D314" s="115">
        <f t="shared" si="60"/>
        <v>314</v>
      </c>
      <c r="E314" s="119" t="s">
        <v>314</v>
      </c>
      <c r="F314" s="121">
        <f t="shared" si="65"/>
        <v>313</v>
      </c>
      <c r="G314" s="118" t="s">
        <v>286</v>
      </c>
      <c r="H314" s="118"/>
      <c r="I314" s="121">
        <f>I312</f>
        <v>18</v>
      </c>
      <c r="J314" s="121" t="str">
        <f>J309</f>
        <v>2500 mm</v>
      </c>
      <c r="K314" s="131">
        <v>1</v>
      </c>
      <c r="L314" s="131" t="s">
        <v>81</v>
      </c>
      <c r="M314" s="155">
        <f>K314</f>
        <v>1</v>
      </c>
      <c r="N314" s="117" t="s">
        <v>39</v>
      </c>
      <c r="O314" s="133">
        <v>3</v>
      </c>
      <c r="P314" s="117" t="s">
        <v>112</v>
      </c>
      <c r="Q314" s="163">
        <f t="shared" si="63"/>
        <v>3</v>
      </c>
      <c r="R314" s="161">
        <v>1</v>
      </c>
      <c r="S314" s="163">
        <f t="shared" si="64"/>
        <v>4</v>
      </c>
      <c r="T314" s="165" t="s">
        <v>48</v>
      </c>
    </row>
    <row r="315" spans="3:20" ht="20.25" customHeight="1">
      <c r="C315" s="109"/>
      <c r="D315" s="115">
        <f t="shared" si="60"/>
        <v>315</v>
      </c>
      <c r="E315" s="119" t="s">
        <v>314</v>
      </c>
      <c r="F315" s="121">
        <f t="shared" si="65"/>
        <v>314</v>
      </c>
      <c r="G315" s="118" t="s">
        <v>286</v>
      </c>
      <c r="H315" s="118"/>
      <c r="I315" s="121">
        <f>I312</f>
        <v>18</v>
      </c>
      <c r="J315" s="121" t="str">
        <f>J310</f>
        <v>2500 mm</v>
      </c>
      <c r="K315" s="131">
        <v>1</v>
      </c>
      <c r="L315" s="131" t="s">
        <v>81</v>
      </c>
      <c r="M315" s="155">
        <f>K315</f>
        <v>1</v>
      </c>
      <c r="N315" s="117" t="s">
        <v>39</v>
      </c>
      <c r="O315" s="175">
        <f>O314</f>
        <v>3</v>
      </c>
      <c r="P315" s="117" t="s">
        <v>112</v>
      </c>
      <c r="Q315" s="163">
        <f t="shared" si="63"/>
        <v>3</v>
      </c>
      <c r="R315" s="161">
        <v>1</v>
      </c>
      <c r="S315" s="163">
        <f t="shared" si="64"/>
        <v>4</v>
      </c>
      <c r="T315" s="165" t="s">
        <v>48</v>
      </c>
    </row>
    <row r="316" spans="3:20" ht="20.25" customHeight="1">
      <c r="C316" s="109"/>
      <c r="D316" s="115">
        <f t="shared" si="60"/>
        <v>316</v>
      </c>
      <c r="E316" s="119" t="s">
        <v>314</v>
      </c>
      <c r="F316" s="121">
        <f t="shared" si="65"/>
        <v>315</v>
      </c>
      <c r="G316" s="118" t="s">
        <v>286</v>
      </c>
      <c r="H316" s="118"/>
      <c r="I316" s="121">
        <f>I312</f>
        <v>18</v>
      </c>
      <c r="J316" s="121" t="str">
        <f>J311</f>
        <v>1250 mm</v>
      </c>
      <c r="K316" s="131">
        <v>1</v>
      </c>
      <c r="L316" s="131" t="s">
        <v>81</v>
      </c>
      <c r="M316" s="155">
        <f>K316</f>
        <v>1</v>
      </c>
      <c r="N316" s="117" t="s">
        <v>39</v>
      </c>
      <c r="O316" s="175">
        <f>O315</f>
        <v>3</v>
      </c>
      <c r="P316" s="117" t="s">
        <v>112</v>
      </c>
      <c r="Q316" s="163">
        <f t="shared" si="63"/>
        <v>3</v>
      </c>
      <c r="R316" s="161">
        <v>1</v>
      </c>
      <c r="S316" s="163">
        <f t="shared" si="64"/>
        <v>4</v>
      </c>
      <c r="T316" s="165" t="s">
        <v>48</v>
      </c>
    </row>
    <row r="317" spans="3:20" ht="20.25" customHeight="1">
      <c r="C317" s="109"/>
      <c r="D317" s="115">
        <f t="shared" si="60"/>
        <v>317</v>
      </c>
      <c r="E317" s="119" t="s">
        <v>314</v>
      </c>
      <c r="F317" s="121">
        <f t="shared" si="65"/>
        <v>316</v>
      </c>
      <c r="G317" s="118" t="s">
        <v>286</v>
      </c>
      <c r="H317" s="118"/>
      <c r="I317" s="121">
        <f>I312</f>
        <v>18</v>
      </c>
      <c r="J317" s="121" t="str">
        <f>J312</f>
        <v>0 mm</v>
      </c>
      <c r="K317" s="131">
        <v>1</v>
      </c>
      <c r="L317" s="131" t="s">
        <v>81</v>
      </c>
      <c r="M317" s="155">
        <f>K317</f>
        <v>1</v>
      </c>
      <c r="N317" s="117" t="s">
        <v>39</v>
      </c>
      <c r="O317" s="175">
        <f>O316</f>
        <v>3</v>
      </c>
      <c r="P317" s="117" t="s">
        <v>112</v>
      </c>
      <c r="Q317" s="163">
        <f t="shared" si="63"/>
        <v>3</v>
      </c>
      <c r="R317" s="161">
        <v>1</v>
      </c>
      <c r="S317" s="163">
        <f t="shared" si="64"/>
        <v>4</v>
      </c>
      <c r="T317" s="165" t="s">
        <v>48</v>
      </c>
    </row>
    <row r="318" spans="3:20" ht="20.25" customHeight="1">
      <c r="C318" s="109">
        <f>D318</f>
        <v>318</v>
      </c>
      <c r="D318" s="115">
        <f t="shared" si="60"/>
        <v>318</v>
      </c>
      <c r="E318" s="116" t="s">
        <v>315</v>
      </c>
      <c r="F318" s="121">
        <f>D313</f>
        <v>313</v>
      </c>
      <c r="G318" s="118"/>
      <c r="H318" s="118"/>
      <c r="I318" s="117"/>
      <c r="J318" s="117"/>
      <c r="K318" s="131"/>
      <c r="L318" s="131"/>
      <c r="M318" s="132"/>
      <c r="N318" s="117"/>
      <c r="O318" s="133"/>
      <c r="P318" s="117"/>
      <c r="Q318" s="163"/>
      <c r="R318" s="161"/>
      <c r="S318" s="163"/>
      <c r="T318" s="162"/>
    </row>
    <row r="319" spans="3:20" ht="20.25" customHeight="1">
      <c r="C319" s="109"/>
      <c r="D319" s="115">
        <f t="shared" si="60"/>
        <v>319</v>
      </c>
      <c r="E319" s="119" t="s">
        <v>316</v>
      </c>
      <c r="F319" s="121">
        <f t="shared" si="65"/>
        <v>318</v>
      </c>
      <c r="G319" s="118" t="s">
        <v>44</v>
      </c>
      <c r="H319" s="118"/>
      <c r="I319" s="117">
        <v>18</v>
      </c>
      <c r="J319" s="125" t="s">
        <v>317</v>
      </c>
      <c r="K319" s="131">
        <v>1</v>
      </c>
      <c r="L319" s="131" t="s">
        <v>81</v>
      </c>
      <c r="M319" s="141">
        <f>LEFT(J319,SEARCH(" ",J319,1)-1)*3.142*K319*0.001</f>
        <v>4.9015199999999997</v>
      </c>
      <c r="N319" s="117" t="s">
        <v>139</v>
      </c>
      <c r="O319" s="175">
        <f>VLOOKUP(I319,BM!$A$2:$X$104,10,FALSE)</f>
        <v>1</v>
      </c>
      <c r="P319" s="117" t="s">
        <v>112</v>
      </c>
      <c r="Q319" s="163">
        <f t="shared" si="63"/>
        <v>4.9015199999999997</v>
      </c>
      <c r="R319" s="161">
        <v>1</v>
      </c>
      <c r="S319" s="163">
        <f t="shared" si="64"/>
        <v>5.9015199999999997</v>
      </c>
      <c r="T319" s="165" t="s">
        <v>48</v>
      </c>
    </row>
    <row r="320" spans="3:20" ht="20.25" customHeight="1">
      <c r="C320" s="109"/>
      <c r="D320" s="115">
        <f t="shared" si="60"/>
        <v>320</v>
      </c>
      <c r="E320" s="119" t="s">
        <v>316</v>
      </c>
      <c r="F320" s="121">
        <f t="shared" si="65"/>
        <v>319</v>
      </c>
      <c r="G320" s="118" t="s">
        <v>44</v>
      </c>
      <c r="H320" s="118"/>
      <c r="I320" s="117">
        <v>18</v>
      </c>
      <c r="J320" s="125" t="str">
        <f>J319</f>
        <v>1560 mm id</v>
      </c>
      <c r="K320" s="131">
        <v>1</v>
      </c>
      <c r="L320" s="131" t="s">
        <v>81</v>
      </c>
      <c r="M320" s="141">
        <f t="shared" ref="M320:M322" si="69">LEFT(J320,SEARCH(" ",J320,1)-1)*3.142*K320*0.001</f>
        <v>4.9015199999999997</v>
      </c>
      <c r="N320" s="117" t="s">
        <v>139</v>
      </c>
      <c r="O320" s="175">
        <f>VLOOKUP(I320,BM!$A$2:$X$104,10,FALSE)</f>
        <v>1</v>
      </c>
      <c r="P320" s="117" t="s">
        <v>112</v>
      </c>
      <c r="Q320" s="163">
        <f t="shared" si="63"/>
        <v>4.9015199999999997</v>
      </c>
      <c r="R320" s="161">
        <v>1</v>
      </c>
      <c r="S320" s="163">
        <f t="shared" si="64"/>
        <v>5.9015199999999997</v>
      </c>
      <c r="T320" s="165" t="s">
        <v>48</v>
      </c>
    </row>
    <row r="321" spans="3:20" ht="20.25" customHeight="1">
      <c r="C321" s="109"/>
      <c r="D321" s="115">
        <f t="shared" si="60"/>
        <v>321</v>
      </c>
      <c r="E321" s="119" t="s">
        <v>316</v>
      </c>
      <c r="F321" s="121">
        <f t="shared" si="65"/>
        <v>320</v>
      </c>
      <c r="G321" s="118" t="s">
        <v>44</v>
      </c>
      <c r="H321" s="118"/>
      <c r="I321" s="117">
        <v>18</v>
      </c>
      <c r="J321" s="125" t="str">
        <f>J320</f>
        <v>1560 mm id</v>
      </c>
      <c r="K321" s="131">
        <v>1</v>
      </c>
      <c r="L321" s="131" t="s">
        <v>81</v>
      </c>
      <c r="M321" s="141">
        <f t="shared" si="69"/>
        <v>4.9015199999999997</v>
      </c>
      <c r="N321" s="117" t="s">
        <v>139</v>
      </c>
      <c r="O321" s="175">
        <f>VLOOKUP(I321,BM!$A$2:$X$104,10,FALSE)</f>
        <v>1</v>
      </c>
      <c r="P321" s="117" t="s">
        <v>112</v>
      </c>
      <c r="Q321" s="163">
        <f t="shared" si="63"/>
        <v>4.9015199999999997</v>
      </c>
      <c r="R321" s="161">
        <v>1</v>
      </c>
      <c r="S321" s="163">
        <f t="shared" si="64"/>
        <v>5.9015199999999997</v>
      </c>
      <c r="T321" s="165" t="s">
        <v>48</v>
      </c>
    </row>
    <row r="322" spans="3:20" ht="20.25" customHeight="1">
      <c r="C322" s="109"/>
      <c r="D322" s="115">
        <f t="shared" si="60"/>
        <v>322</v>
      </c>
      <c r="E322" s="119" t="s">
        <v>316</v>
      </c>
      <c r="F322" s="121">
        <f t="shared" si="65"/>
        <v>321</v>
      </c>
      <c r="G322" s="118" t="s">
        <v>44</v>
      </c>
      <c r="H322" s="118"/>
      <c r="I322" s="117">
        <v>18</v>
      </c>
      <c r="J322" s="125" t="s">
        <v>318</v>
      </c>
      <c r="K322" s="131">
        <v>1</v>
      </c>
      <c r="L322" s="131" t="s">
        <v>81</v>
      </c>
      <c r="M322" s="141">
        <f t="shared" si="69"/>
        <v>0</v>
      </c>
      <c r="N322" s="117" t="s">
        <v>139</v>
      </c>
      <c r="O322" s="175">
        <f>VLOOKUP(I322,BM!$A$2:$X$104,10,FALSE)</f>
        <v>1</v>
      </c>
      <c r="P322" s="117" t="s">
        <v>112</v>
      </c>
      <c r="Q322" s="163">
        <f t="shared" si="63"/>
        <v>0</v>
      </c>
      <c r="R322" s="161">
        <v>1</v>
      </c>
      <c r="S322" s="163">
        <f t="shared" si="64"/>
        <v>1</v>
      </c>
      <c r="T322" s="165" t="s">
        <v>48</v>
      </c>
    </row>
    <row r="323" spans="3:20" ht="20.25" customHeight="1">
      <c r="C323" s="109">
        <f>D323</f>
        <v>323</v>
      </c>
      <c r="D323" s="115">
        <f t="shared" ref="D323:D386" si="70">D322+1</f>
        <v>323</v>
      </c>
      <c r="E323" s="116" t="s">
        <v>319</v>
      </c>
      <c r="F323" s="121">
        <f>D318</f>
        <v>318</v>
      </c>
      <c r="G323" s="118"/>
      <c r="H323" s="118"/>
      <c r="I323" s="117"/>
      <c r="J323" s="117"/>
      <c r="K323" s="131"/>
      <c r="L323" s="131"/>
      <c r="M323" s="132"/>
      <c r="N323" s="117"/>
      <c r="O323" s="133"/>
      <c r="P323" s="117"/>
      <c r="Q323" s="163"/>
      <c r="R323" s="161"/>
      <c r="S323" s="163"/>
      <c r="T323" s="162"/>
    </row>
    <row r="324" spans="3:20" ht="20.25" customHeight="1">
      <c r="C324" s="109"/>
      <c r="D324" s="115">
        <f t="shared" si="70"/>
        <v>324</v>
      </c>
      <c r="E324" s="119" t="s">
        <v>320</v>
      </c>
      <c r="F324" s="121">
        <f t="shared" si="65"/>
        <v>323</v>
      </c>
      <c r="G324" s="118" t="s">
        <v>299</v>
      </c>
      <c r="H324" s="118"/>
      <c r="I324" s="117">
        <v>18</v>
      </c>
      <c r="J324" s="125" t="str">
        <f>J321</f>
        <v>1560 mm id</v>
      </c>
      <c r="K324" s="131">
        <v>1</v>
      </c>
      <c r="L324" s="131" t="s">
        <v>81</v>
      </c>
      <c r="M324" s="141">
        <f t="shared" ref="M324:M325" si="71">LEFT(J324,SEARCH(" ",J324,1)-1)*3.142*K324*0.001</f>
        <v>4.9015199999999997</v>
      </c>
      <c r="N324" s="117" t="s">
        <v>139</v>
      </c>
      <c r="O324" s="175">
        <f>VLOOKUP(I324,BM!$A$2:$X$104,10,FALSE)</f>
        <v>1</v>
      </c>
      <c r="P324" s="117" t="s">
        <v>112</v>
      </c>
      <c r="Q324" s="163">
        <f t="shared" si="63"/>
        <v>4.9015199999999997</v>
      </c>
      <c r="R324" s="161">
        <v>1</v>
      </c>
      <c r="S324" s="163">
        <f t="shared" si="64"/>
        <v>5.9015199999999997</v>
      </c>
      <c r="T324" s="165" t="s">
        <v>48</v>
      </c>
    </row>
    <row r="325" spans="3:20" ht="20.25" customHeight="1">
      <c r="C325" s="109"/>
      <c r="D325" s="115">
        <f t="shared" si="70"/>
        <v>325</v>
      </c>
      <c r="E325" s="119" t="s">
        <v>321</v>
      </c>
      <c r="F325" s="121">
        <f t="shared" si="65"/>
        <v>324</v>
      </c>
      <c r="G325" s="118" t="s">
        <v>44</v>
      </c>
      <c r="H325" s="118"/>
      <c r="I325" s="117">
        <v>18</v>
      </c>
      <c r="J325" s="125" t="str">
        <f t="shared" ref="J325" si="72">J324</f>
        <v>1560 mm id</v>
      </c>
      <c r="K325" s="131">
        <v>1</v>
      </c>
      <c r="L325" s="131" t="s">
        <v>81</v>
      </c>
      <c r="M325" s="141">
        <f t="shared" si="71"/>
        <v>4.9015199999999997</v>
      </c>
      <c r="N325" s="117" t="s">
        <v>139</v>
      </c>
      <c r="O325" s="133">
        <v>1</v>
      </c>
      <c r="P325" s="117" t="s">
        <v>112</v>
      </c>
      <c r="Q325" s="163">
        <f t="shared" si="63"/>
        <v>4.9015199999999997</v>
      </c>
      <c r="R325" s="161">
        <v>1</v>
      </c>
      <c r="S325" s="163">
        <f t="shared" si="64"/>
        <v>5.9015199999999997</v>
      </c>
      <c r="T325" s="165" t="s">
        <v>48</v>
      </c>
    </row>
    <row r="326" spans="3:20" ht="20.25" customHeight="1">
      <c r="C326" s="109">
        <f>D326</f>
        <v>326</v>
      </c>
      <c r="D326" s="115">
        <f t="shared" si="70"/>
        <v>326</v>
      </c>
      <c r="E326" s="116" t="s">
        <v>322</v>
      </c>
      <c r="F326" s="121">
        <f>D323</f>
        <v>323</v>
      </c>
      <c r="G326" s="118"/>
      <c r="H326" s="118"/>
      <c r="I326" s="117"/>
      <c r="J326" s="117"/>
      <c r="K326" s="131"/>
      <c r="L326" s="131"/>
      <c r="M326" s="132"/>
      <c r="N326" s="117"/>
      <c r="O326" s="133"/>
      <c r="P326" s="117"/>
      <c r="Q326" s="163"/>
      <c r="R326" s="161"/>
      <c r="S326" s="163"/>
      <c r="T326" s="162"/>
    </row>
    <row r="327" spans="3:20" ht="20.25" customHeight="1">
      <c r="C327" s="109"/>
      <c r="D327" s="115">
        <f t="shared" si="70"/>
        <v>327</v>
      </c>
      <c r="E327" s="119" t="s">
        <v>323</v>
      </c>
      <c r="F327" s="121">
        <f t="shared" si="65"/>
        <v>326</v>
      </c>
      <c r="G327" s="118" t="s">
        <v>44</v>
      </c>
      <c r="H327" s="118"/>
      <c r="I327" s="117">
        <v>18</v>
      </c>
      <c r="J327" s="117" t="str">
        <f>J325</f>
        <v>1560 mm id</v>
      </c>
      <c r="K327" s="131">
        <v>1</v>
      </c>
      <c r="L327" s="131" t="s">
        <v>81</v>
      </c>
      <c r="M327" s="132">
        <v>1</v>
      </c>
      <c r="N327" s="145" t="s">
        <v>81</v>
      </c>
      <c r="O327" s="133">
        <v>1</v>
      </c>
      <c r="P327" s="117" t="s">
        <v>112</v>
      </c>
      <c r="Q327" s="163">
        <f t="shared" si="63"/>
        <v>1</v>
      </c>
      <c r="R327" s="161">
        <v>1</v>
      </c>
      <c r="S327" s="163">
        <f t="shared" si="64"/>
        <v>2</v>
      </c>
      <c r="T327" s="165" t="s">
        <v>48</v>
      </c>
    </row>
    <row r="328" spans="3:20" ht="20.25" customHeight="1">
      <c r="C328" s="109"/>
      <c r="D328" s="115">
        <f t="shared" si="70"/>
        <v>328</v>
      </c>
      <c r="E328" s="119" t="s">
        <v>324</v>
      </c>
      <c r="F328" s="121">
        <f t="shared" si="65"/>
        <v>327</v>
      </c>
      <c r="G328" s="118" t="s">
        <v>115</v>
      </c>
      <c r="H328" s="118"/>
      <c r="I328" s="121">
        <f>12</f>
        <v>12</v>
      </c>
      <c r="J328" s="117" t="str">
        <f>J327</f>
        <v>1560 mm id</v>
      </c>
      <c r="K328" s="131">
        <v>1</v>
      </c>
      <c r="L328" s="131" t="s">
        <v>81</v>
      </c>
      <c r="M328" s="141">
        <f t="shared" ref="M328:M331" si="73">LEFT(J328,SEARCH(" ",J328,1)-1)*3.142*K328*0.001</f>
        <v>4.9015199999999997</v>
      </c>
      <c r="N328" s="117" t="s">
        <v>139</v>
      </c>
      <c r="O328" s="175">
        <f>VLOOKUP(I328,BM!$A$2:$X$104,17,FALSE)</f>
        <v>2.5</v>
      </c>
      <c r="P328" s="117" t="s">
        <v>112</v>
      </c>
      <c r="Q328" s="163">
        <f t="shared" si="63"/>
        <v>12.253799999999998</v>
      </c>
      <c r="R328" s="161">
        <v>1</v>
      </c>
      <c r="S328" s="163">
        <f t="shared" si="64"/>
        <v>13.253799999999998</v>
      </c>
      <c r="T328" s="165" t="s">
        <v>48</v>
      </c>
    </row>
    <row r="329" spans="3:20" ht="20.25" customHeight="1">
      <c r="C329" s="109"/>
      <c r="D329" s="115">
        <f t="shared" si="70"/>
        <v>329</v>
      </c>
      <c r="E329" s="119" t="s">
        <v>325</v>
      </c>
      <c r="F329" s="121">
        <f t="shared" si="65"/>
        <v>328</v>
      </c>
      <c r="G329" s="118" t="s">
        <v>61</v>
      </c>
      <c r="H329" s="118"/>
      <c r="I329" s="121">
        <f>18</f>
        <v>18</v>
      </c>
      <c r="J329" s="117" t="str">
        <f>J328</f>
        <v>1560 mm id</v>
      </c>
      <c r="K329" s="131">
        <v>1</v>
      </c>
      <c r="L329" s="131" t="s">
        <v>81</v>
      </c>
      <c r="M329" s="141">
        <f t="shared" si="73"/>
        <v>4.9015199999999997</v>
      </c>
      <c r="N329" s="117" t="s">
        <v>139</v>
      </c>
      <c r="O329" s="175">
        <f>VLOOKUP(I329,BM!$A$2:$X$104,18,FALSE)</f>
        <v>1</v>
      </c>
      <c r="P329" s="117" t="s">
        <v>112</v>
      </c>
      <c r="Q329" s="163">
        <f t="shared" si="63"/>
        <v>4.9015199999999997</v>
      </c>
      <c r="R329" s="161">
        <v>1</v>
      </c>
      <c r="S329" s="163">
        <f t="shared" si="64"/>
        <v>5.9015199999999997</v>
      </c>
      <c r="T329" s="165" t="s">
        <v>48</v>
      </c>
    </row>
    <row r="330" spans="3:20" ht="20.25" customHeight="1">
      <c r="C330" s="109"/>
      <c r="D330" s="115">
        <f t="shared" si="70"/>
        <v>330</v>
      </c>
      <c r="E330" s="119" t="s">
        <v>326</v>
      </c>
      <c r="F330" s="121">
        <f t="shared" si="65"/>
        <v>329</v>
      </c>
      <c r="G330" s="118" t="s">
        <v>115</v>
      </c>
      <c r="H330" s="118"/>
      <c r="I330" s="117">
        <v>6</v>
      </c>
      <c r="J330" s="117" t="str">
        <f>J329</f>
        <v>1560 mm id</v>
      </c>
      <c r="K330" s="131">
        <v>1</v>
      </c>
      <c r="L330" s="131" t="s">
        <v>81</v>
      </c>
      <c r="M330" s="141">
        <f t="shared" si="73"/>
        <v>4.9015199999999997</v>
      </c>
      <c r="N330" s="117" t="s">
        <v>139</v>
      </c>
      <c r="O330" s="175">
        <f>VLOOKUP(I330,BM!$A$2:$X$104,17,FALSE)</f>
        <v>0.9</v>
      </c>
      <c r="P330" s="117" t="s">
        <v>112</v>
      </c>
      <c r="Q330" s="163">
        <f t="shared" si="63"/>
        <v>4.4113679999999995</v>
      </c>
      <c r="R330" s="161">
        <v>1</v>
      </c>
      <c r="S330" s="163">
        <f t="shared" si="64"/>
        <v>5.4113679999999995</v>
      </c>
      <c r="T330" s="165" t="s">
        <v>48</v>
      </c>
    </row>
    <row r="331" spans="3:20" ht="20.25" customHeight="1">
      <c r="C331" s="109"/>
      <c r="D331" s="115">
        <f t="shared" si="70"/>
        <v>331</v>
      </c>
      <c r="E331" s="119" t="s">
        <v>327</v>
      </c>
      <c r="F331" s="121">
        <f t="shared" si="65"/>
        <v>330</v>
      </c>
      <c r="G331" s="118" t="s">
        <v>61</v>
      </c>
      <c r="H331" s="118"/>
      <c r="I331" s="117">
        <v>18</v>
      </c>
      <c r="J331" s="117" t="str">
        <f>J330</f>
        <v>1560 mm id</v>
      </c>
      <c r="K331" s="131">
        <v>1</v>
      </c>
      <c r="L331" s="131" t="s">
        <v>81</v>
      </c>
      <c r="M331" s="141">
        <f t="shared" si="73"/>
        <v>4.9015199999999997</v>
      </c>
      <c r="N331" s="117" t="s">
        <v>139</v>
      </c>
      <c r="O331" s="175">
        <f>VLOOKUP(I331,BM!$A$2:$X$104,20,FALSE)</f>
        <v>0.5</v>
      </c>
      <c r="P331" s="117" t="s">
        <v>112</v>
      </c>
      <c r="Q331" s="163">
        <f t="shared" si="63"/>
        <v>2.4507599999999998</v>
      </c>
      <c r="R331" s="161">
        <v>1</v>
      </c>
      <c r="S331" s="163">
        <f t="shared" si="64"/>
        <v>3.4507599999999998</v>
      </c>
      <c r="T331" s="165" t="s">
        <v>48</v>
      </c>
    </row>
    <row r="332" spans="3:20" ht="20.25" customHeight="1">
      <c r="C332" s="109">
        <f>D332</f>
        <v>332</v>
      </c>
      <c r="D332" s="115">
        <f t="shared" si="70"/>
        <v>332</v>
      </c>
      <c r="E332" s="116" t="s">
        <v>328</v>
      </c>
      <c r="F332" s="121">
        <f>D326</f>
        <v>326</v>
      </c>
      <c r="G332" s="118"/>
      <c r="H332" s="118"/>
      <c r="I332" s="117"/>
      <c r="J332" s="117"/>
      <c r="K332" s="131"/>
      <c r="L332" s="131"/>
      <c r="M332" s="132"/>
      <c r="N332" s="117"/>
      <c r="O332" s="133"/>
      <c r="P332" s="117"/>
      <c r="Q332" s="163"/>
      <c r="R332" s="161"/>
      <c r="S332" s="163"/>
      <c r="T332" s="162"/>
    </row>
    <row r="333" spans="3:20" ht="20.25" customHeight="1">
      <c r="C333" s="109"/>
      <c r="D333" s="115">
        <f t="shared" si="70"/>
        <v>333</v>
      </c>
      <c r="E333" s="119" t="s">
        <v>329</v>
      </c>
      <c r="F333" s="121">
        <f t="shared" si="65"/>
        <v>332</v>
      </c>
      <c r="G333" s="118" t="s">
        <v>299</v>
      </c>
      <c r="H333" s="118"/>
      <c r="I333" s="117">
        <v>18</v>
      </c>
      <c r="J333" s="117" t="str">
        <f>J331</f>
        <v>1560 mm id</v>
      </c>
      <c r="K333" s="131">
        <v>1</v>
      </c>
      <c r="L333" s="131" t="s">
        <v>81</v>
      </c>
      <c r="M333" s="141">
        <f t="shared" ref="M333:M334" si="74">LEFT(J333,SEARCH(" ",J333,1)-1)*3.142*K333*0.001</f>
        <v>4.9015199999999997</v>
      </c>
      <c r="N333" s="117" t="s">
        <v>139</v>
      </c>
      <c r="O333" s="175">
        <f>VLOOKUP(I333,BM!$A$2:$X$104,10,FALSE)</f>
        <v>1</v>
      </c>
      <c r="P333" s="117" t="s">
        <v>112</v>
      </c>
      <c r="Q333" s="163">
        <f t="shared" si="63"/>
        <v>4.9015199999999997</v>
      </c>
      <c r="R333" s="161">
        <v>1</v>
      </c>
      <c r="S333" s="163">
        <f t="shared" si="64"/>
        <v>5.9015199999999997</v>
      </c>
      <c r="T333" s="165" t="s">
        <v>48</v>
      </c>
    </row>
    <row r="334" spans="3:20" ht="20.25" customHeight="1">
      <c r="C334" s="109"/>
      <c r="D334" s="115">
        <f t="shared" si="70"/>
        <v>334</v>
      </c>
      <c r="E334" s="119" t="s">
        <v>330</v>
      </c>
      <c r="F334" s="121">
        <f t="shared" si="65"/>
        <v>333</v>
      </c>
      <c r="G334" s="118" t="s">
        <v>44</v>
      </c>
      <c r="H334" s="118"/>
      <c r="I334" s="117">
        <v>18</v>
      </c>
      <c r="J334" s="117" t="str">
        <f>J331</f>
        <v>1560 mm id</v>
      </c>
      <c r="K334" s="131">
        <v>1</v>
      </c>
      <c r="L334" s="131" t="s">
        <v>81</v>
      </c>
      <c r="M334" s="141">
        <f t="shared" si="74"/>
        <v>4.9015199999999997</v>
      </c>
      <c r="N334" s="117" t="s">
        <v>139</v>
      </c>
      <c r="O334" s="133">
        <v>1</v>
      </c>
      <c r="P334" s="117" t="s">
        <v>112</v>
      </c>
      <c r="Q334" s="163">
        <f t="shared" si="63"/>
        <v>4.9015199999999997</v>
      </c>
      <c r="R334" s="161">
        <v>1</v>
      </c>
      <c r="S334" s="163">
        <f t="shared" si="64"/>
        <v>5.9015199999999997</v>
      </c>
      <c r="T334" s="165" t="s">
        <v>48</v>
      </c>
    </row>
    <row r="335" spans="3:20" ht="20.25" customHeight="1">
      <c r="C335" s="109">
        <f>D335</f>
        <v>335</v>
      </c>
      <c r="D335" s="115">
        <f t="shared" si="70"/>
        <v>335</v>
      </c>
      <c r="E335" s="116" t="s">
        <v>331</v>
      </c>
      <c r="F335" s="121">
        <f>D332</f>
        <v>332</v>
      </c>
      <c r="G335" s="118"/>
      <c r="H335" s="118"/>
      <c r="I335" s="117"/>
      <c r="J335" s="117"/>
      <c r="K335" s="131"/>
      <c r="L335" s="131"/>
      <c r="M335" s="132"/>
      <c r="N335" s="117"/>
      <c r="O335" s="133"/>
      <c r="P335" s="117"/>
      <c r="Q335" s="163">
        <f t="shared" si="63"/>
        <v>0</v>
      </c>
      <c r="R335" s="161"/>
      <c r="S335" s="163">
        <f t="shared" si="64"/>
        <v>0</v>
      </c>
      <c r="T335" s="162"/>
    </row>
    <row r="336" spans="3:20" ht="20.25" customHeight="1">
      <c r="C336" s="109"/>
      <c r="D336" s="115">
        <f t="shared" si="70"/>
        <v>336</v>
      </c>
      <c r="E336" s="119" t="s">
        <v>332</v>
      </c>
      <c r="F336" s="121">
        <f t="shared" si="65"/>
        <v>335</v>
      </c>
      <c r="G336" s="118" t="s">
        <v>44</v>
      </c>
      <c r="H336" s="118"/>
      <c r="I336" s="117">
        <v>18</v>
      </c>
      <c r="J336" s="117" t="str">
        <f>J331</f>
        <v>1560 mm id</v>
      </c>
      <c r="K336" s="131">
        <v>1</v>
      </c>
      <c r="L336" s="131" t="s">
        <v>81</v>
      </c>
      <c r="M336" s="132">
        <v>1</v>
      </c>
      <c r="N336" s="117" t="s">
        <v>139</v>
      </c>
      <c r="O336" s="133">
        <v>1</v>
      </c>
      <c r="P336" s="117" t="s">
        <v>112</v>
      </c>
      <c r="Q336" s="163">
        <f t="shared" si="63"/>
        <v>1</v>
      </c>
      <c r="R336" s="161">
        <v>1</v>
      </c>
      <c r="S336" s="163">
        <f t="shared" si="64"/>
        <v>2</v>
      </c>
      <c r="T336" s="165" t="s">
        <v>48</v>
      </c>
    </row>
    <row r="337" spans="3:20" ht="20.25" customHeight="1">
      <c r="C337" s="109"/>
      <c r="D337" s="115">
        <f t="shared" si="70"/>
        <v>337</v>
      </c>
      <c r="E337" s="119" t="s">
        <v>333</v>
      </c>
      <c r="F337" s="121">
        <f t="shared" si="65"/>
        <v>336</v>
      </c>
      <c r="G337" s="118" t="s">
        <v>115</v>
      </c>
      <c r="H337" s="118"/>
      <c r="I337" s="121">
        <f>12</f>
        <v>12</v>
      </c>
      <c r="J337" s="117" t="str">
        <f>J334</f>
        <v>1560 mm id</v>
      </c>
      <c r="K337" s="131">
        <v>1</v>
      </c>
      <c r="L337" s="131" t="s">
        <v>81</v>
      </c>
      <c r="M337" s="141">
        <f t="shared" ref="M337:M340" si="75">LEFT(J337,SEARCH(" ",J337,1)-1)*3.142*K337*0.001</f>
        <v>4.9015199999999997</v>
      </c>
      <c r="N337" s="117" t="s">
        <v>139</v>
      </c>
      <c r="O337" s="175">
        <f>VLOOKUP(I337,BM!$A$2:$X$104,17,FALSE)</f>
        <v>2.5</v>
      </c>
      <c r="P337" s="117" t="s">
        <v>112</v>
      </c>
      <c r="Q337" s="163">
        <f t="shared" si="63"/>
        <v>12.253799999999998</v>
      </c>
      <c r="R337" s="161">
        <v>1</v>
      </c>
      <c r="S337" s="163">
        <f t="shared" si="64"/>
        <v>13.253799999999998</v>
      </c>
      <c r="T337" s="165" t="s">
        <v>48</v>
      </c>
    </row>
    <row r="338" spans="3:20" ht="20.25" customHeight="1">
      <c r="C338" s="109"/>
      <c r="D338" s="115">
        <f t="shared" si="70"/>
        <v>338</v>
      </c>
      <c r="E338" s="119" t="s">
        <v>334</v>
      </c>
      <c r="F338" s="121">
        <f t="shared" si="65"/>
        <v>337</v>
      </c>
      <c r="G338" s="118" t="s">
        <v>61</v>
      </c>
      <c r="H338" s="118"/>
      <c r="I338" s="121">
        <f>18</f>
        <v>18</v>
      </c>
      <c r="J338" s="117" t="str">
        <f>J337</f>
        <v>1560 mm id</v>
      </c>
      <c r="K338" s="131">
        <v>1</v>
      </c>
      <c r="L338" s="131" t="s">
        <v>81</v>
      </c>
      <c r="M338" s="141">
        <f t="shared" si="75"/>
        <v>4.9015199999999997</v>
      </c>
      <c r="N338" s="117" t="s">
        <v>139</v>
      </c>
      <c r="O338" s="175">
        <f>VLOOKUP(I338,BM!$A$2:$X$104,18,FALSE)</f>
        <v>1</v>
      </c>
      <c r="P338" s="117" t="s">
        <v>112</v>
      </c>
      <c r="Q338" s="163">
        <f t="shared" si="63"/>
        <v>4.9015199999999997</v>
      </c>
      <c r="R338" s="161">
        <v>1</v>
      </c>
      <c r="S338" s="163">
        <f t="shared" si="64"/>
        <v>5.9015199999999997</v>
      </c>
      <c r="T338" s="165" t="s">
        <v>48</v>
      </c>
    </row>
    <row r="339" spans="3:20" ht="20.25" customHeight="1">
      <c r="C339" s="109"/>
      <c r="D339" s="115">
        <f t="shared" si="70"/>
        <v>339</v>
      </c>
      <c r="E339" s="119" t="s">
        <v>335</v>
      </c>
      <c r="F339" s="121">
        <f t="shared" si="65"/>
        <v>338</v>
      </c>
      <c r="G339" s="118" t="s">
        <v>115</v>
      </c>
      <c r="H339" s="118"/>
      <c r="I339" s="117">
        <v>6</v>
      </c>
      <c r="J339" s="117" t="str">
        <f>J338</f>
        <v>1560 mm id</v>
      </c>
      <c r="K339" s="131">
        <v>1</v>
      </c>
      <c r="L339" s="131" t="s">
        <v>81</v>
      </c>
      <c r="M339" s="141">
        <f t="shared" si="75"/>
        <v>4.9015199999999997</v>
      </c>
      <c r="N339" s="117" t="s">
        <v>139</v>
      </c>
      <c r="O339" s="175">
        <f>VLOOKUP(I339,BM!$A$2:$X$104,17,FALSE)</f>
        <v>0.9</v>
      </c>
      <c r="P339" s="117" t="s">
        <v>112</v>
      </c>
      <c r="Q339" s="163">
        <f t="shared" si="63"/>
        <v>4.4113679999999995</v>
      </c>
      <c r="R339" s="161">
        <v>1</v>
      </c>
      <c r="S339" s="163">
        <f t="shared" si="64"/>
        <v>5.4113679999999995</v>
      </c>
      <c r="T339" s="165" t="s">
        <v>48</v>
      </c>
    </row>
    <row r="340" spans="3:20" ht="20.25" customHeight="1">
      <c r="C340" s="109"/>
      <c r="D340" s="115">
        <f t="shared" si="70"/>
        <v>340</v>
      </c>
      <c r="E340" s="119" t="s">
        <v>336</v>
      </c>
      <c r="F340" s="121">
        <f t="shared" si="65"/>
        <v>339</v>
      </c>
      <c r="G340" s="118" t="s">
        <v>61</v>
      </c>
      <c r="H340" s="118"/>
      <c r="I340" s="117">
        <v>18</v>
      </c>
      <c r="J340" s="117" t="str">
        <f>J339</f>
        <v>1560 mm id</v>
      </c>
      <c r="K340" s="131">
        <v>1</v>
      </c>
      <c r="L340" s="131" t="s">
        <v>81</v>
      </c>
      <c r="M340" s="141">
        <f t="shared" si="75"/>
        <v>4.9015199999999997</v>
      </c>
      <c r="N340" s="117" t="s">
        <v>139</v>
      </c>
      <c r="O340" s="175">
        <f>VLOOKUP(I340,BM!$A$2:$X$104,20,FALSE)</f>
        <v>0.5</v>
      </c>
      <c r="P340" s="117" t="s">
        <v>112</v>
      </c>
      <c r="Q340" s="163">
        <f t="shared" si="63"/>
        <v>2.4507599999999998</v>
      </c>
      <c r="R340" s="161">
        <v>1</v>
      </c>
      <c r="S340" s="163">
        <f t="shared" si="64"/>
        <v>3.4507599999999998</v>
      </c>
      <c r="T340" s="165" t="s">
        <v>48</v>
      </c>
    </row>
    <row r="341" spans="3:20" ht="20.25" customHeight="1">
      <c r="C341" s="109">
        <f>D341</f>
        <v>341</v>
      </c>
      <c r="D341" s="115">
        <f t="shared" si="70"/>
        <v>341</v>
      </c>
      <c r="E341" s="116" t="s">
        <v>337</v>
      </c>
      <c r="F341" s="121">
        <f>D335</f>
        <v>335</v>
      </c>
      <c r="G341" s="118"/>
      <c r="H341" s="118"/>
      <c r="I341" s="117"/>
      <c r="J341" s="117"/>
      <c r="K341" s="131"/>
      <c r="L341" s="131"/>
      <c r="M341" s="132"/>
      <c r="N341" s="117"/>
      <c r="O341" s="133"/>
      <c r="P341" s="117"/>
      <c r="Q341" s="163"/>
      <c r="R341" s="161"/>
      <c r="S341" s="163"/>
      <c r="T341" s="162"/>
    </row>
    <row r="342" spans="3:20" ht="20.25" customHeight="1">
      <c r="C342" s="109"/>
      <c r="D342" s="115">
        <f t="shared" si="70"/>
        <v>342</v>
      </c>
      <c r="E342" s="119" t="s">
        <v>338</v>
      </c>
      <c r="F342" s="121">
        <f t="shared" si="65"/>
        <v>341</v>
      </c>
      <c r="G342" s="118" t="s">
        <v>299</v>
      </c>
      <c r="H342" s="118"/>
      <c r="I342" s="117">
        <v>18</v>
      </c>
      <c r="J342" s="117" t="str">
        <f>J340</f>
        <v>1560 mm id</v>
      </c>
      <c r="K342" s="131">
        <v>1</v>
      </c>
      <c r="L342" s="131" t="s">
        <v>81</v>
      </c>
      <c r="M342" s="141">
        <f t="shared" ref="M342:M343" si="76">LEFT(J342,SEARCH(" ",J342,1)-1)*3.142*K342*0.001</f>
        <v>4.9015199999999997</v>
      </c>
      <c r="N342" s="117" t="s">
        <v>139</v>
      </c>
      <c r="O342" s="175">
        <f>VLOOKUP(I342,BM!$A$2:$X$104,10,FALSE)</f>
        <v>1</v>
      </c>
      <c r="P342" s="117" t="s">
        <v>112</v>
      </c>
      <c r="Q342" s="163">
        <f t="shared" si="63"/>
        <v>4.9015199999999997</v>
      </c>
      <c r="R342" s="161">
        <v>1</v>
      </c>
      <c r="S342" s="163">
        <f t="shared" si="64"/>
        <v>5.9015199999999997</v>
      </c>
      <c r="T342" s="165" t="s">
        <v>48</v>
      </c>
    </row>
    <row r="343" spans="3:20" ht="20.25" customHeight="1">
      <c r="C343" s="109"/>
      <c r="D343" s="115">
        <f t="shared" si="70"/>
        <v>343</v>
      </c>
      <c r="E343" s="119" t="s">
        <v>339</v>
      </c>
      <c r="F343" s="121">
        <f t="shared" si="65"/>
        <v>342</v>
      </c>
      <c r="G343" s="118" t="s">
        <v>44</v>
      </c>
      <c r="H343" s="118"/>
      <c r="I343" s="117">
        <v>18</v>
      </c>
      <c r="J343" s="117" t="str">
        <f>J340</f>
        <v>1560 mm id</v>
      </c>
      <c r="K343" s="131">
        <v>1</v>
      </c>
      <c r="L343" s="131" t="s">
        <v>81</v>
      </c>
      <c r="M343" s="141">
        <f t="shared" si="76"/>
        <v>4.9015199999999997</v>
      </c>
      <c r="N343" s="117" t="s">
        <v>139</v>
      </c>
      <c r="O343" s="133">
        <v>1</v>
      </c>
      <c r="P343" s="117" t="s">
        <v>112</v>
      </c>
      <c r="Q343" s="163">
        <f t="shared" si="63"/>
        <v>4.9015199999999997</v>
      </c>
      <c r="R343" s="161">
        <v>1</v>
      </c>
      <c r="S343" s="163">
        <f t="shared" si="64"/>
        <v>5.9015199999999997</v>
      </c>
      <c r="T343" s="179" t="s">
        <v>48</v>
      </c>
    </row>
    <row r="344" spans="3:20" ht="20.25" customHeight="1">
      <c r="C344" s="109">
        <f>D344</f>
        <v>344</v>
      </c>
      <c r="D344" s="115">
        <f t="shared" si="70"/>
        <v>344</v>
      </c>
      <c r="E344" s="116" t="s">
        <v>340</v>
      </c>
      <c r="F344" s="121">
        <f>D341</f>
        <v>341</v>
      </c>
      <c r="G344" s="118"/>
      <c r="H344" s="118"/>
      <c r="I344" s="117"/>
      <c r="J344" s="117"/>
      <c r="K344" s="131"/>
      <c r="L344" s="131"/>
      <c r="M344" s="132"/>
      <c r="N344" s="117"/>
      <c r="O344" s="133"/>
      <c r="P344" s="117"/>
      <c r="Q344" s="163"/>
      <c r="R344" s="161"/>
      <c r="S344" s="163"/>
      <c r="T344" s="162"/>
    </row>
    <row r="345" spans="3:20" ht="20.25" customHeight="1">
      <c r="C345" s="109"/>
      <c r="D345" s="115">
        <f t="shared" si="70"/>
        <v>345</v>
      </c>
      <c r="E345" s="119" t="s">
        <v>341</v>
      </c>
      <c r="F345" s="121">
        <f t="shared" si="65"/>
        <v>344</v>
      </c>
      <c r="G345" s="118" t="s">
        <v>44</v>
      </c>
      <c r="H345" s="118"/>
      <c r="I345" s="117">
        <v>18</v>
      </c>
      <c r="J345" s="117" t="str">
        <f>J343</f>
        <v>1560 mm id</v>
      </c>
      <c r="K345" s="131">
        <v>1</v>
      </c>
      <c r="L345" s="131" t="s">
        <v>81</v>
      </c>
      <c r="M345" s="132">
        <v>1</v>
      </c>
      <c r="N345" s="117" t="s">
        <v>139</v>
      </c>
      <c r="O345" s="133">
        <v>1</v>
      </c>
      <c r="P345" s="117" t="s">
        <v>112</v>
      </c>
      <c r="Q345" s="163">
        <f t="shared" si="63"/>
        <v>1</v>
      </c>
      <c r="R345" s="161">
        <v>1</v>
      </c>
      <c r="S345" s="163">
        <f t="shared" si="64"/>
        <v>2</v>
      </c>
      <c r="T345" s="179" t="s">
        <v>48</v>
      </c>
    </row>
    <row r="346" spans="3:20" ht="20.25" customHeight="1">
      <c r="C346" s="109"/>
      <c r="D346" s="115">
        <f t="shared" si="70"/>
        <v>346</v>
      </c>
      <c r="E346" s="119" t="s">
        <v>342</v>
      </c>
      <c r="F346" s="121">
        <f t="shared" si="65"/>
        <v>345</v>
      </c>
      <c r="G346" s="118" t="s">
        <v>115</v>
      </c>
      <c r="H346" s="118"/>
      <c r="I346" s="121">
        <f>12</f>
        <v>12</v>
      </c>
      <c r="J346" s="117" t="str">
        <f>J345</f>
        <v>1560 mm id</v>
      </c>
      <c r="K346" s="131">
        <v>1</v>
      </c>
      <c r="L346" s="131" t="s">
        <v>81</v>
      </c>
      <c r="M346" s="141">
        <f t="shared" ref="M346:M349" si="77">LEFT(J346,SEARCH(" ",J346,1)-1)*3.142*K346*0.001</f>
        <v>4.9015199999999997</v>
      </c>
      <c r="N346" s="117" t="s">
        <v>139</v>
      </c>
      <c r="O346" s="175">
        <f>VLOOKUP(I346,BM!$A$2:$X$104,17,FALSE)</f>
        <v>2.5</v>
      </c>
      <c r="P346" s="117" t="s">
        <v>112</v>
      </c>
      <c r="Q346" s="163">
        <f t="shared" si="63"/>
        <v>12.253799999999998</v>
      </c>
      <c r="R346" s="161">
        <v>1</v>
      </c>
      <c r="S346" s="163">
        <f t="shared" si="64"/>
        <v>13.253799999999998</v>
      </c>
      <c r="T346" s="179" t="s">
        <v>48</v>
      </c>
    </row>
    <row r="347" spans="3:20" ht="20.25" customHeight="1">
      <c r="C347" s="109"/>
      <c r="D347" s="115">
        <f t="shared" si="70"/>
        <v>347</v>
      </c>
      <c r="E347" s="119" t="s">
        <v>343</v>
      </c>
      <c r="F347" s="121">
        <f t="shared" si="65"/>
        <v>346</v>
      </c>
      <c r="G347" s="118" t="s">
        <v>61</v>
      </c>
      <c r="H347" s="118"/>
      <c r="I347" s="121">
        <f>18</f>
        <v>18</v>
      </c>
      <c r="J347" s="117" t="str">
        <f>J346</f>
        <v>1560 mm id</v>
      </c>
      <c r="K347" s="131">
        <v>1</v>
      </c>
      <c r="L347" s="131" t="s">
        <v>81</v>
      </c>
      <c r="M347" s="141">
        <f t="shared" si="77"/>
        <v>4.9015199999999997</v>
      </c>
      <c r="N347" s="117" t="s">
        <v>139</v>
      </c>
      <c r="O347" s="175">
        <f>VLOOKUP(I347,BM!$A$2:$X$104,18,FALSE)</f>
        <v>1</v>
      </c>
      <c r="P347" s="117" t="s">
        <v>112</v>
      </c>
      <c r="Q347" s="163">
        <f t="shared" si="63"/>
        <v>4.9015199999999997</v>
      </c>
      <c r="R347" s="161">
        <v>1</v>
      </c>
      <c r="S347" s="163">
        <f t="shared" si="64"/>
        <v>5.9015199999999997</v>
      </c>
      <c r="T347" s="179" t="s">
        <v>48</v>
      </c>
    </row>
    <row r="348" spans="3:20" ht="20.25" customHeight="1">
      <c r="C348" s="109"/>
      <c r="D348" s="115">
        <f t="shared" si="70"/>
        <v>348</v>
      </c>
      <c r="E348" s="119" t="s">
        <v>344</v>
      </c>
      <c r="F348" s="121">
        <f t="shared" si="65"/>
        <v>347</v>
      </c>
      <c r="G348" s="118" t="s">
        <v>115</v>
      </c>
      <c r="H348" s="118"/>
      <c r="I348" s="117">
        <v>6</v>
      </c>
      <c r="J348" s="117" t="str">
        <f>J347</f>
        <v>1560 mm id</v>
      </c>
      <c r="K348" s="131">
        <v>1</v>
      </c>
      <c r="L348" s="131" t="s">
        <v>81</v>
      </c>
      <c r="M348" s="141">
        <f t="shared" si="77"/>
        <v>4.9015199999999997</v>
      </c>
      <c r="N348" s="117" t="s">
        <v>139</v>
      </c>
      <c r="O348" s="175">
        <f>VLOOKUP(I348,BM!$A$2:$X$104,17,FALSE)</f>
        <v>0.9</v>
      </c>
      <c r="P348" s="117" t="s">
        <v>112</v>
      </c>
      <c r="Q348" s="163">
        <f t="shared" ref="Q348:Q411" si="78">M348*O348</f>
        <v>4.4113679999999995</v>
      </c>
      <c r="R348" s="161">
        <v>1</v>
      </c>
      <c r="S348" s="163">
        <f t="shared" ref="S348:S411" si="79">Q348+R348</f>
        <v>5.4113679999999995</v>
      </c>
      <c r="T348" s="179" t="s">
        <v>48</v>
      </c>
    </row>
    <row r="349" spans="3:20" ht="20.25" customHeight="1">
      <c r="C349" s="109"/>
      <c r="D349" s="115">
        <f t="shared" si="70"/>
        <v>349</v>
      </c>
      <c r="E349" s="119" t="s">
        <v>345</v>
      </c>
      <c r="F349" s="121">
        <f t="shared" ref="F349:F411" si="80">D348</f>
        <v>348</v>
      </c>
      <c r="G349" s="118" t="s">
        <v>61</v>
      </c>
      <c r="H349" s="118"/>
      <c r="I349" s="117">
        <v>18</v>
      </c>
      <c r="J349" s="117" t="str">
        <f>J348</f>
        <v>1560 mm id</v>
      </c>
      <c r="K349" s="131">
        <v>1</v>
      </c>
      <c r="L349" s="131" t="s">
        <v>81</v>
      </c>
      <c r="M349" s="141">
        <f t="shared" si="77"/>
        <v>4.9015199999999997</v>
      </c>
      <c r="N349" s="117" t="s">
        <v>139</v>
      </c>
      <c r="O349" s="175">
        <f>VLOOKUP(I349,BM!$A$2:$X$104,20,FALSE)</f>
        <v>0.5</v>
      </c>
      <c r="P349" s="117" t="s">
        <v>112</v>
      </c>
      <c r="Q349" s="163">
        <f t="shared" si="78"/>
        <v>2.4507599999999998</v>
      </c>
      <c r="R349" s="161">
        <v>1</v>
      </c>
      <c r="S349" s="163">
        <f t="shared" si="79"/>
        <v>3.4507599999999998</v>
      </c>
      <c r="T349" s="179" t="s">
        <v>48</v>
      </c>
    </row>
    <row r="350" spans="3:20" ht="20.25" customHeight="1">
      <c r="C350" s="109">
        <f>D350</f>
        <v>350</v>
      </c>
      <c r="D350" s="115">
        <f t="shared" si="70"/>
        <v>350</v>
      </c>
      <c r="E350" s="116" t="s">
        <v>346</v>
      </c>
      <c r="F350" s="121">
        <f>D344</f>
        <v>344</v>
      </c>
      <c r="G350" s="118"/>
      <c r="H350" s="118"/>
      <c r="I350" s="117"/>
      <c r="J350" s="117"/>
      <c r="K350" s="131"/>
      <c r="L350" s="131"/>
      <c r="M350" s="132"/>
      <c r="N350" s="117"/>
      <c r="O350" s="133"/>
      <c r="P350" s="117"/>
      <c r="Q350" s="163"/>
      <c r="R350" s="161"/>
      <c r="S350" s="163"/>
      <c r="T350" s="162"/>
    </row>
    <row r="351" spans="3:20" ht="20.25" customHeight="1">
      <c r="C351" s="109"/>
      <c r="D351" s="115">
        <f t="shared" si="70"/>
        <v>351</v>
      </c>
      <c r="E351" s="119" t="s">
        <v>347</v>
      </c>
      <c r="F351" s="121">
        <f t="shared" si="80"/>
        <v>350</v>
      </c>
      <c r="G351" s="118" t="s">
        <v>348</v>
      </c>
      <c r="H351" s="118"/>
      <c r="I351" s="117">
        <v>18</v>
      </c>
      <c r="J351" s="117" t="str">
        <f>J349</f>
        <v>1560 mm id</v>
      </c>
      <c r="K351" s="131">
        <v>1</v>
      </c>
      <c r="L351" s="154" t="s">
        <v>39</v>
      </c>
      <c r="M351" s="132">
        <v>1</v>
      </c>
      <c r="N351" s="117" t="s">
        <v>39</v>
      </c>
      <c r="O351" s="133">
        <v>4</v>
      </c>
      <c r="P351" s="117" t="s">
        <v>112</v>
      </c>
      <c r="Q351" s="163">
        <f t="shared" si="78"/>
        <v>4</v>
      </c>
      <c r="R351" s="161">
        <v>1</v>
      </c>
      <c r="S351" s="163">
        <f t="shared" si="79"/>
        <v>5</v>
      </c>
      <c r="T351" s="179" t="s">
        <v>48</v>
      </c>
    </row>
    <row r="352" spans="3:20" ht="20.25" customHeight="1">
      <c r="C352" s="109"/>
      <c r="D352" s="115">
        <f t="shared" si="70"/>
        <v>352</v>
      </c>
      <c r="E352" s="119" t="s">
        <v>349</v>
      </c>
      <c r="F352" s="121">
        <f t="shared" si="80"/>
        <v>351</v>
      </c>
      <c r="G352" s="118" t="s">
        <v>52</v>
      </c>
      <c r="H352" s="118"/>
      <c r="I352" s="117">
        <v>18</v>
      </c>
      <c r="J352" s="117" t="str">
        <f>J351</f>
        <v>1560 mm id</v>
      </c>
      <c r="K352" s="131">
        <v>1</v>
      </c>
      <c r="L352" s="154" t="s">
        <v>39</v>
      </c>
      <c r="M352" s="141">
        <f t="shared" ref="M352:M356" si="81">LEFT(J352,SEARCH(" ",J352,1)-1)*3.142*K352*0.001</f>
        <v>4.9015199999999997</v>
      </c>
      <c r="N352" s="117" t="s">
        <v>139</v>
      </c>
      <c r="O352" s="175">
        <f>VLOOKUP(I352,BM!$A$2:$X$104,5,FALSE)</f>
        <v>0.5</v>
      </c>
      <c r="P352" s="117" t="s">
        <v>112</v>
      </c>
      <c r="Q352" s="163">
        <f t="shared" si="78"/>
        <v>2.4507599999999998</v>
      </c>
      <c r="R352" s="161">
        <v>1</v>
      </c>
      <c r="S352" s="163">
        <f t="shared" si="79"/>
        <v>3.4507599999999998</v>
      </c>
      <c r="T352" s="179" t="s">
        <v>48</v>
      </c>
    </row>
    <row r="353" spans="3:20" ht="20.25" customHeight="1">
      <c r="C353" s="109"/>
      <c r="D353" s="115">
        <f t="shared" si="70"/>
        <v>353</v>
      </c>
      <c r="E353" s="119" t="s">
        <v>350</v>
      </c>
      <c r="F353" s="121">
        <f t="shared" si="80"/>
        <v>352</v>
      </c>
      <c r="G353" s="118" t="s">
        <v>121</v>
      </c>
      <c r="H353" s="118"/>
      <c r="I353" s="117">
        <v>18</v>
      </c>
      <c r="J353" s="117" t="str">
        <f>J352</f>
        <v>1560 mm id</v>
      </c>
      <c r="K353" s="131">
        <v>1</v>
      </c>
      <c r="L353" s="154" t="s">
        <v>39</v>
      </c>
      <c r="M353" s="141">
        <f t="shared" si="81"/>
        <v>4.9015199999999997</v>
      </c>
      <c r="N353" s="117" t="s">
        <v>139</v>
      </c>
      <c r="O353" s="175">
        <f>VLOOKUP(I353,BM!$A$2:$X$104,5,FALSE)</f>
        <v>0.5</v>
      </c>
      <c r="P353" s="117" t="s">
        <v>112</v>
      </c>
      <c r="Q353" s="163">
        <f t="shared" si="78"/>
        <v>2.4507599999999998</v>
      </c>
      <c r="R353" s="161">
        <v>1</v>
      </c>
      <c r="S353" s="163">
        <f t="shared" si="79"/>
        <v>3.4507599999999998</v>
      </c>
      <c r="T353" s="179" t="s">
        <v>48</v>
      </c>
    </row>
    <row r="354" spans="3:20" ht="20.25" customHeight="1">
      <c r="C354" s="109">
        <f>D354</f>
        <v>354</v>
      </c>
      <c r="D354" s="115">
        <f t="shared" si="70"/>
        <v>354</v>
      </c>
      <c r="E354" s="116" t="s">
        <v>351</v>
      </c>
      <c r="F354" s="121">
        <f>D350</f>
        <v>350</v>
      </c>
      <c r="G354" s="118"/>
      <c r="H354" s="118"/>
      <c r="I354" s="117"/>
      <c r="J354" s="117"/>
      <c r="K354" s="131"/>
      <c r="L354" s="131"/>
      <c r="M354" s="132"/>
      <c r="N354" s="117"/>
      <c r="O354" s="133"/>
      <c r="P354" s="117"/>
      <c r="Q354" s="163"/>
      <c r="R354" s="161"/>
      <c r="S354" s="163"/>
      <c r="T354" s="162"/>
    </row>
    <row r="355" spans="3:20" ht="20.25" customHeight="1">
      <c r="C355" s="109"/>
      <c r="D355" s="115">
        <f t="shared" si="70"/>
        <v>355</v>
      </c>
      <c r="E355" s="119" t="s">
        <v>352</v>
      </c>
      <c r="F355" s="121">
        <f t="shared" si="80"/>
        <v>354</v>
      </c>
      <c r="G355" s="118" t="s">
        <v>299</v>
      </c>
      <c r="H355" s="118"/>
      <c r="I355" s="117">
        <v>18</v>
      </c>
      <c r="J355" s="117" t="str">
        <f>J353</f>
        <v>1560 mm id</v>
      </c>
      <c r="K355" s="131">
        <v>1</v>
      </c>
      <c r="L355" s="131" t="s">
        <v>81</v>
      </c>
      <c r="M355" s="141">
        <f t="shared" si="81"/>
        <v>4.9015199999999997</v>
      </c>
      <c r="N355" s="117" t="s">
        <v>139</v>
      </c>
      <c r="O355" s="175">
        <f>VLOOKUP(I355,BM!$A$2:$X$104,10,FALSE)</f>
        <v>1</v>
      </c>
      <c r="P355" s="117" t="s">
        <v>112</v>
      </c>
      <c r="Q355" s="163">
        <f t="shared" si="78"/>
        <v>4.9015199999999997</v>
      </c>
      <c r="R355" s="161">
        <v>1</v>
      </c>
      <c r="S355" s="163">
        <f t="shared" si="79"/>
        <v>5.9015199999999997</v>
      </c>
      <c r="T355" s="179" t="s">
        <v>48</v>
      </c>
    </row>
    <row r="356" spans="3:20" ht="20.25" customHeight="1">
      <c r="C356" s="109"/>
      <c r="D356" s="115">
        <f t="shared" si="70"/>
        <v>356</v>
      </c>
      <c r="E356" s="119" t="s">
        <v>353</v>
      </c>
      <c r="F356" s="121">
        <f t="shared" si="80"/>
        <v>355</v>
      </c>
      <c r="G356" s="118" t="s">
        <v>44</v>
      </c>
      <c r="H356" s="118"/>
      <c r="I356" s="117">
        <v>18</v>
      </c>
      <c r="J356" s="117" t="str">
        <f>J353</f>
        <v>1560 mm id</v>
      </c>
      <c r="K356" s="131">
        <v>1</v>
      </c>
      <c r="L356" s="131" t="s">
        <v>81</v>
      </c>
      <c r="M356" s="141">
        <f t="shared" si="81"/>
        <v>4.9015199999999997</v>
      </c>
      <c r="N356" s="117" t="s">
        <v>139</v>
      </c>
      <c r="O356" s="133">
        <v>1</v>
      </c>
      <c r="P356" s="117" t="s">
        <v>112</v>
      </c>
      <c r="Q356" s="163">
        <f t="shared" si="78"/>
        <v>4.9015199999999997</v>
      </c>
      <c r="R356" s="161">
        <v>1</v>
      </c>
      <c r="S356" s="163">
        <f t="shared" si="79"/>
        <v>5.9015199999999997</v>
      </c>
      <c r="T356" s="179" t="s">
        <v>48</v>
      </c>
    </row>
    <row r="357" spans="3:20" ht="20.25" customHeight="1">
      <c r="C357" s="109">
        <f>D357</f>
        <v>357</v>
      </c>
      <c r="D357" s="115">
        <f t="shared" si="70"/>
        <v>357</v>
      </c>
      <c r="E357" s="116" t="s">
        <v>354</v>
      </c>
      <c r="F357" s="121">
        <f>D354</f>
        <v>354</v>
      </c>
      <c r="G357" s="118"/>
      <c r="H357" s="118"/>
      <c r="I357" s="117"/>
      <c r="J357" s="117"/>
      <c r="K357" s="131"/>
      <c r="L357" s="131"/>
      <c r="M357" s="132"/>
      <c r="N357" s="117"/>
      <c r="O357" s="133"/>
      <c r="P357" s="117"/>
      <c r="Q357" s="163"/>
      <c r="R357" s="161"/>
      <c r="S357" s="163"/>
      <c r="T357" s="162"/>
    </row>
    <row r="358" spans="3:20" ht="20.25" customHeight="1">
      <c r="C358" s="109"/>
      <c r="D358" s="115">
        <f t="shared" si="70"/>
        <v>358</v>
      </c>
      <c r="E358" s="119" t="s">
        <v>323</v>
      </c>
      <c r="F358" s="121">
        <f t="shared" si="80"/>
        <v>357</v>
      </c>
      <c r="G358" s="118" t="s">
        <v>44</v>
      </c>
      <c r="H358" s="118"/>
      <c r="I358" s="117">
        <v>12</v>
      </c>
      <c r="J358" s="117" t="str">
        <f>J356</f>
        <v>1560 mm id</v>
      </c>
      <c r="K358" s="131">
        <v>1</v>
      </c>
      <c r="L358" s="131" t="s">
        <v>81</v>
      </c>
      <c r="M358" s="132">
        <v>1</v>
      </c>
      <c r="N358" s="117" t="s">
        <v>139</v>
      </c>
      <c r="O358" s="133">
        <v>1</v>
      </c>
      <c r="P358" s="117" t="s">
        <v>112</v>
      </c>
      <c r="Q358" s="163">
        <f t="shared" si="78"/>
        <v>1</v>
      </c>
      <c r="R358" s="161">
        <v>1</v>
      </c>
      <c r="S358" s="163">
        <f t="shared" si="79"/>
        <v>2</v>
      </c>
      <c r="T358" s="179" t="s">
        <v>48</v>
      </c>
    </row>
    <row r="359" spans="3:20" ht="20.25" customHeight="1">
      <c r="C359" s="109"/>
      <c r="D359" s="115">
        <f t="shared" si="70"/>
        <v>359</v>
      </c>
      <c r="E359" s="119" t="s">
        <v>355</v>
      </c>
      <c r="F359" s="121">
        <f t="shared" si="80"/>
        <v>358</v>
      </c>
      <c r="G359" s="118" t="s">
        <v>115</v>
      </c>
      <c r="H359" s="118"/>
      <c r="I359" s="117">
        <v>12</v>
      </c>
      <c r="J359" s="117" t="str">
        <f>J358</f>
        <v>1560 mm id</v>
      </c>
      <c r="K359" s="131">
        <v>1</v>
      </c>
      <c r="L359" s="131" t="s">
        <v>81</v>
      </c>
      <c r="M359" s="141">
        <f t="shared" ref="M359:M365" si="82">LEFT(J359,SEARCH(" ",J359,1)-1)*3.142*K359*0.001</f>
        <v>4.9015199999999997</v>
      </c>
      <c r="N359" s="117" t="s">
        <v>139</v>
      </c>
      <c r="O359" s="175">
        <f>VLOOKUP(I359,BM!$A$2:$X$104,17,FALSE)</f>
        <v>2.5</v>
      </c>
      <c r="P359" s="117" t="s">
        <v>112</v>
      </c>
      <c r="Q359" s="163">
        <f t="shared" si="78"/>
        <v>12.253799999999998</v>
      </c>
      <c r="R359" s="161">
        <v>1</v>
      </c>
      <c r="S359" s="163">
        <f t="shared" si="79"/>
        <v>13.253799999999998</v>
      </c>
      <c r="T359" s="179" t="s">
        <v>48</v>
      </c>
    </row>
    <row r="360" spans="3:20" ht="20.25" customHeight="1">
      <c r="C360" s="109"/>
      <c r="D360" s="115">
        <f t="shared" si="70"/>
        <v>360</v>
      </c>
      <c r="E360" s="119" t="s">
        <v>356</v>
      </c>
      <c r="F360" s="121">
        <f t="shared" si="80"/>
        <v>359</v>
      </c>
      <c r="G360" s="118" t="s">
        <v>61</v>
      </c>
      <c r="H360" s="118"/>
      <c r="I360" s="117">
        <v>18</v>
      </c>
      <c r="J360" s="117" t="str">
        <f>J359</f>
        <v>1560 mm id</v>
      </c>
      <c r="K360" s="131">
        <v>1</v>
      </c>
      <c r="L360" s="131" t="s">
        <v>81</v>
      </c>
      <c r="M360" s="141">
        <f t="shared" si="82"/>
        <v>4.9015199999999997</v>
      </c>
      <c r="N360" s="117" t="s">
        <v>139</v>
      </c>
      <c r="O360" s="175">
        <f>VLOOKUP(I360,BM!$A$2:$X$104,18,FALSE)</f>
        <v>1</v>
      </c>
      <c r="P360" s="117" t="s">
        <v>112</v>
      </c>
      <c r="Q360" s="163">
        <f t="shared" si="78"/>
        <v>4.9015199999999997</v>
      </c>
      <c r="R360" s="161">
        <v>1</v>
      </c>
      <c r="S360" s="163">
        <f t="shared" si="79"/>
        <v>5.9015199999999997</v>
      </c>
      <c r="T360" s="179" t="s">
        <v>48</v>
      </c>
    </row>
    <row r="361" spans="3:20" ht="20.25" customHeight="1">
      <c r="C361" s="109"/>
      <c r="D361" s="115">
        <f t="shared" si="70"/>
        <v>361</v>
      </c>
      <c r="E361" s="119" t="s">
        <v>357</v>
      </c>
      <c r="F361" s="121">
        <f t="shared" si="80"/>
        <v>360</v>
      </c>
      <c r="G361" s="118" t="s">
        <v>115</v>
      </c>
      <c r="H361" s="118"/>
      <c r="I361" s="117">
        <v>6</v>
      </c>
      <c r="J361" s="117" t="str">
        <f>J360</f>
        <v>1560 mm id</v>
      </c>
      <c r="K361" s="131">
        <v>1</v>
      </c>
      <c r="L361" s="131" t="s">
        <v>81</v>
      </c>
      <c r="M361" s="141">
        <f t="shared" si="82"/>
        <v>4.9015199999999997</v>
      </c>
      <c r="N361" s="117" t="s">
        <v>139</v>
      </c>
      <c r="O361" s="175">
        <f>VLOOKUP(I361,BM!$A$2:$X$104,17,FALSE)</f>
        <v>0.9</v>
      </c>
      <c r="P361" s="117" t="s">
        <v>112</v>
      </c>
      <c r="Q361" s="163">
        <f t="shared" si="78"/>
        <v>4.4113679999999995</v>
      </c>
      <c r="R361" s="161">
        <v>1</v>
      </c>
      <c r="S361" s="163">
        <f t="shared" si="79"/>
        <v>5.4113679999999995</v>
      </c>
      <c r="T361" s="179" t="s">
        <v>48</v>
      </c>
    </row>
    <row r="362" spans="3:20" ht="20.25" customHeight="1">
      <c r="C362" s="109"/>
      <c r="D362" s="115">
        <f t="shared" si="70"/>
        <v>362</v>
      </c>
      <c r="E362" s="119" t="s">
        <v>358</v>
      </c>
      <c r="F362" s="121">
        <f t="shared" si="80"/>
        <v>361</v>
      </c>
      <c r="G362" s="118" t="s">
        <v>61</v>
      </c>
      <c r="H362" s="118"/>
      <c r="I362" s="117">
        <v>18</v>
      </c>
      <c r="J362" s="117" t="str">
        <f>J361</f>
        <v>1560 mm id</v>
      </c>
      <c r="K362" s="131">
        <v>1</v>
      </c>
      <c r="L362" s="131" t="s">
        <v>81</v>
      </c>
      <c r="M362" s="141">
        <f t="shared" si="82"/>
        <v>4.9015199999999997</v>
      </c>
      <c r="N362" s="117" t="s">
        <v>139</v>
      </c>
      <c r="O362" s="175">
        <f>VLOOKUP(I362,BM!$A$2:$X$104,20,FALSE)</f>
        <v>0.5</v>
      </c>
      <c r="P362" s="117" t="s">
        <v>112</v>
      </c>
      <c r="Q362" s="163">
        <f t="shared" si="78"/>
        <v>2.4507599999999998</v>
      </c>
      <c r="R362" s="161">
        <v>1</v>
      </c>
      <c r="S362" s="163">
        <f t="shared" si="79"/>
        <v>3.4507599999999998</v>
      </c>
      <c r="T362" s="179" t="s">
        <v>48</v>
      </c>
    </row>
    <row r="363" spans="3:20" ht="20.25" customHeight="1">
      <c r="C363" s="109">
        <f>D363</f>
        <v>363</v>
      </c>
      <c r="D363" s="115">
        <f t="shared" si="70"/>
        <v>363</v>
      </c>
      <c r="E363" s="116" t="s">
        <v>359</v>
      </c>
      <c r="F363" s="121">
        <f>D357</f>
        <v>357</v>
      </c>
      <c r="G363" s="118"/>
      <c r="H363" s="118"/>
      <c r="I363" s="117"/>
      <c r="J363" s="117"/>
      <c r="K363" s="131"/>
      <c r="L363" s="131"/>
      <c r="M363" s="132"/>
      <c r="N363" s="117"/>
      <c r="O363" s="133"/>
      <c r="P363" s="117"/>
      <c r="Q363" s="163"/>
      <c r="R363" s="161"/>
      <c r="S363" s="163"/>
      <c r="T363" s="162"/>
    </row>
    <row r="364" spans="3:20" ht="20.25" customHeight="1">
      <c r="C364" s="109"/>
      <c r="D364" s="115">
        <f t="shared" si="70"/>
        <v>364</v>
      </c>
      <c r="E364" s="119" t="s">
        <v>360</v>
      </c>
      <c r="F364" s="121">
        <f t="shared" si="80"/>
        <v>363</v>
      </c>
      <c r="G364" s="118" t="s">
        <v>299</v>
      </c>
      <c r="H364" s="118"/>
      <c r="I364" s="117">
        <v>18</v>
      </c>
      <c r="J364" s="117" t="str">
        <f>J362</f>
        <v>1560 mm id</v>
      </c>
      <c r="K364" s="131">
        <v>1</v>
      </c>
      <c r="L364" s="131" t="s">
        <v>81</v>
      </c>
      <c r="M364" s="141">
        <f t="shared" si="82"/>
        <v>4.9015199999999997</v>
      </c>
      <c r="N364" s="117" t="s">
        <v>139</v>
      </c>
      <c r="O364" s="175">
        <f>VLOOKUP(I364,BM!$A$2:$X$104,10,FALSE)</f>
        <v>1</v>
      </c>
      <c r="P364" s="117" t="s">
        <v>112</v>
      </c>
      <c r="Q364" s="163">
        <f t="shared" si="78"/>
        <v>4.9015199999999997</v>
      </c>
      <c r="R364" s="161">
        <v>1</v>
      </c>
      <c r="S364" s="163">
        <f t="shared" si="79"/>
        <v>5.9015199999999997</v>
      </c>
      <c r="T364" s="165" t="s">
        <v>48</v>
      </c>
    </row>
    <row r="365" spans="3:20" ht="20.25" customHeight="1">
      <c r="C365" s="109"/>
      <c r="D365" s="115">
        <f t="shared" si="70"/>
        <v>365</v>
      </c>
      <c r="E365" s="119" t="s">
        <v>361</v>
      </c>
      <c r="F365" s="121">
        <f t="shared" si="80"/>
        <v>364</v>
      </c>
      <c r="G365" s="118" t="s">
        <v>44</v>
      </c>
      <c r="H365" s="118"/>
      <c r="I365" s="117">
        <v>18</v>
      </c>
      <c r="J365" s="117" t="str">
        <f>J364</f>
        <v>1560 mm id</v>
      </c>
      <c r="K365" s="131">
        <v>1</v>
      </c>
      <c r="L365" s="131" t="s">
        <v>81</v>
      </c>
      <c r="M365" s="141">
        <f t="shared" si="82"/>
        <v>4.9015199999999997</v>
      </c>
      <c r="N365" s="117" t="s">
        <v>139</v>
      </c>
      <c r="O365" s="133">
        <v>1</v>
      </c>
      <c r="P365" s="117" t="s">
        <v>112</v>
      </c>
      <c r="Q365" s="163">
        <f t="shared" si="78"/>
        <v>4.9015199999999997</v>
      </c>
      <c r="R365" s="161">
        <v>1</v>
      </c>
      <c r="S365" s="163">
        <f t="shared" si="79"/>
        <v>5.9015199999999997</v>
      </c>
      <c r="T365" s="165" t="s">
        <v>48</v>
      </c>
    </row>
    <row r="366" spans="3:20" ht="20.25" customHeight="1">
      <c r="C366" s="109">
        <f>D366</f>
        <v>366</v>
      </c>
      <c r="D366" s="115">
        <f t="shared" si="70"/>
        <v>366</v>
      </c>
      <c r="E366" s="116" t="s">
        <v>362</v>
      </c>
      <c r="F366" s="121">
        <f>D363</f>
        <v>363</v>
      </c>
      <c r="G366" s="118"/>
      <c r="H366" s="118"/>
      <c r="I366" s="117"/>
      <c r="J366" s="117"/>
      <c r="K366" s="131"/>
      <c r="L366" s="131"/>
      <c r="M366" s="132"/>
      <c r="N366" s="117"/>
      <c r="O366" s="133"/>
      <c r="P366" s="117"/>
      <c r="Q366" s="163"/>
      <c r="R366" s="161"/>
      <c r="S366" s="163"/>
      <c r="T366" s="162"/>
    </row>
    <row r="367" spans="3:20" ht="20.25" customHeight="1">
      <c r="C367" s="109"/>
      <c r="D367" s="115">
        <f t="shared" si="70"/>
        <v>367</v>
      </c>
      <c r="E367" s="119" t="s">
        <v>363</v>
      </c>
      <c r="F367" s="121">
        <f t="shared" si="80"/>
        <v>366</v>
      </c>
      <c r="G367" s="118" t="s">
        <v>44</v>
      </c>
      <c r="H367" s="118"/>
      <c r="I367" s="117">
        <v>12</v>
      </c>
      <c r="J367" s="117" t="str">
        <f>J365</f>
        <v>1560 mm id</v>
      </c>
      <c r="K367" s="131">
        <v>1</v>
      </c>
      <c r="L367" s="131" t="s">
        <v>81</v>
      </c>
      <c r="M367" s="132">
        <v>1</v>
      </c>
      <c r="N367" s="117" t="s">
        <v>249</v>
      </c>
      <c r="O367" s="133">
        <v>1</v>
      </c>
      <c r="P367" s="117" t="s">
        <v>112</v>
      </c>
      <c r="Q367" s="163">
        <f t="shared" si="78"/>
        <v>1</v>
      </c>
      <c r="R367" s="161">
        <v>1</v>
      </c>
      <c r="S367" s="163">
        <f t="shared" si="79"/>
        <v>2</v>
      </c>
      <c r="T367" s="165" t="s">
        <v>48</v>
      </c>
    </row>
    <row r="368" spans="3:20" ht="20.25" customHeight="1">
      <c r="C368" s="109"/>
      <c r="D368" s="115">
        <f t="shared" si="70"/>
        <v>368</v>
      </c>
      <c r="E368" s="119" t="s">
        <v>364</v>
      </c>
      <c r="F368" s="121">
        <f t="shared" si="80"/>
        <v>367</v>
      </c>
      <c r="G368" s="118" t="s">
        <v>115</v>
      </c>
      <c r="H368" s="118"/>
      <c r="I368" s="117">
        <v>12</v>
      </c>
      <c r="J368" s="117" t="str">
        <f>J367</f>
        <v>1560 mm id</v>
      </c>
      <c r="K368" s="131">
        <v>1</v>
      </c>
      <c r="L368" s="131" t="s">
        <v>81</v>
      </c>
      <c r="M368" s="141">
        <f t="shared" ref="M368:M371" si="83">LEFT(J368,SEARCH(" ",J368,1)-1)*3.142*K368*0.001</f>
        <v>4.9015199999999997</v>
      </c>
      <c r="N368" s="117" t="s">
        <v>249</v>
      </c>
      <c r="O368" s="175">
        <f>VLOOKUP(I368,BM!$A$2:$X$104,17,FALSE)</f>
        <v>2.5</v>
      </c>
      <c r="P368" s="117" t="s">
        <v>112</v>
      </c>
      <c r="Q368" s="163">
        <f t="shared" si="78"/>
        <v>12.253799999999998</v>
      </c>
      <c r="R368" s="161">
        <v>1</v>
      </c>
      <c r="S368" s="163">
        <f t="shared" si="79"/>
        <v>13.253799999999998</v>
      </c>
      <c r="T368" s="165" t="s">
        <v>48</v>
      </c>
    </row>
    <row r="369" spans="3:20" ht="20.25" customHeight="1">
      <c r="C369" s="109"/>
      <c r="D369" s="115">
        <f t="shared" si="70"/>
        <v>369</v>
      </c>
      <c r="E369" s="119" t="s">
        <v>365</v>
      </c>
      <c r="F369" s="121">
        <f t="shared" si="80"/>
        <v>368</v>
      </c>
      <c r="G369" s="118" t="s">
        <v>61</v>
      </c>
      <c r="H369" s="118"/>
      <c r="I369" s="117">
        <v>18</v>
      </c>
      <c r="J369" s="117" t="str">
        <f>J368</f>
        <v>1560 mm id</v>
      </c>
      <c r="K369" s="131">
        <v>1</v>
      </c>
      <c r="L369" s="131" t="s">
        <v>81</v>
      </c>
      <c r="M369" s="141">
        <f t="shared" si="83"/>
        <v>4.9015199999999997</v>
      </c>
      <c r="N369" s="117" t="s">
        <v>249</v>
      </c>
      <c r="O369" s="175">
        <f>VLOOKUP(I369,BM!$A$2:$X$104,18,FALSE)</f>
        <v>1</v>
      </c>
      <c r="P369" s="117" t="s">
        <v>112</v>
      </c>
      <c r="Q369" s="163">
        <f t="shared" si="78"/>
        <v>4.9015199999999997</v>
      </c>
      <c r="R369" s="161">
        <v>1</v>
      </c>
      <c r="S369" s="163">
        <f t="shared" si="79"/>
        <v>5.9015199999999997</v>
      </c>
      <c r="T369" s="165" t="s">
        <v>48</v>
      </c>
    </row>
    <row r="370" spans="3:20" ht="20.25" customHeight="1">
      <c r="C370" s="109"/>
      <c r="D370" s="115">
        <f t="shared" si="70"/>
        <v>370</v>
      </c>
      <c r="E370" s="119" t="s">
        <v>366</v>
      </c>
      <c r="F370" s="121">
        <f t="shared" si="80"/>
        <v>369</v>
      </c>
      <c r="G370" s="118" t="s">
        <v>115</v>
      </c>
      <c r="H370" s="118"/>
      <c r="I370" s="117">
        <v>6</v>
      </c>
      <c r="J370" s="117" t="str">
        <f>J369</f>
        <v>1560 mm id</v>
      </c>
      <c r="K370" s="131">
        <v>1</v>
      </c>
      <c r="L370" s="131" t="s">
        <v>81</v>
      </c>
      <c r="M370" s="141">
        <f t="shared" si="83"/>
        <v>4.9015199999999997</v>
      </c>
      <c r="N370" s="117" t="s">
        <v>249</v>
      </c>
      <c r="O370" s="175">
        <f>VLOOKUP(I370,BM!$A$2:$X$104,17,FALSE)</f>
        <v>0.9</v>
      </c>
      <c r="P370" s="117" t="s">
        <v>112</v>
      </c>
      <c r="Q370" s="163">
        <f t="shared" si="78"/>
        <v>4.4113679999999995</v>
      </c>
      <c r="R370" s="161">
        <v>1</v>
      </c>
      <c r="S370" s="163">
        <f t="shared" si="79"/>
        <v>5.4113679999999995</v>
      </c>
      <c r="T370" s="165" t="s">
        <v>48</v>
      </c>
    </row>
    <row r="371" spans="3:20" ht="20.25" customHeight="1">
      <c r="C371" s="109"/>
      <c r="D371" s="115">
        <f t="shared" si="70"/>
        <v>371</v>
      </c>
      <c r="E371" s="119" t="s">
        <v>367</v>
      </c>
      <c r="F371" s="121">
        <f t="shared" si="80"/>
        <v>370</v>
      </c>
      <c r="G371" s="118" t="s">
        <v>61</v>
      </c>
      <c r="H371" s="118"/>
      <c r="I371" s="117">
        <v>18</v>
      </c>
      <c r="J371" s="117" t="str">
        <f>J370</f>
        <v>1560 mm id</v>
      </c>
      <c r="K371" s="131">
        <v>1</v>
      </c>
      <c r="L371" s="131" t="s">
        <v>81</v>
      </c>
      <c r="M371" s="141">
        <f t="shared" si="83"/>
        <v>4.9015199999999997</v>
      </c>
      <c r="N371" s="117" t="s">
        <v>249</v>
      </c>
      <c r="O371" s="175">
        <f>VLOOKUP(I371,BM!$A$2:$X$104,20,FALSE)</f>
        <v>0.5</v>
      </c>
      <c r="P371" s="117" t="s">
        <v>112</v>
      </c>
      <c r="Q371" s="163">
        <f t="shared" si="78"/>
        <v>2.4507599999999998</v>
      </c>
      <c r="R371" s="161">
        <v>1</v>
      </c>
      <c r="S371" s="163">
        <f t="shared" si="79"/>
        <v>3.4507599999999998</v>
      </c>
      <c r="T371" s="165" t="s">
        <v>48</v>
      </c>
    </row>
    <row r="372" spans="3:20" ht="20.25" customHeight="1">
      <c r="C372" s="109">
        <f>D372</f>
        <v>372</v>
      </c>
      <c r="D372" s="115">
        <f t="shared" si="70"/>
        <v>372</v>
      </c>
      <c r="E372" s="116" t="s">
        <v>761</v>
      </c>
      <c r="F372" s="121">
        <f>D366</f>
        <v>366</v>
      </c>
      <c r="G372" s="118"/>
      <c r="H372" s="118"/>
      <c r="I372" s="117"/>
      <c r="J372" s="117"/>
      <c r="K372" s="131"/>
      <c r="L372" s="131"/>
      <c r="M372" s="132"/>
      <c r="N372" s="117"/>
      <c r="O372" s="133"/>
      <c r="P372" s="117"/>
      <c r="Q372" s="163"/>
      <c r="R372" s="161"/>
      <c r="S372" s="163"/>
      <c r="T372" s="162"/>
    </row>
    <row r="373" spans="3:20" ht="20.25" customHeight="1">
      <c r="C373" s="109"/>
      <c r="D373" s="115">
        <f t="shared" si="70"/>
        <v>373</v>
      </c>
      <c r="E373" s="119" t="s">
        <v>369</v>
      </c>
      <c r="F373" s="121">
        <f t="shared" si="80"/>
        <v>372</v>
      </c>
      <c r="G373" s="118" t="s">
        <v>348</v>
      </c>
      <c r="H373" s="118"/>
      <c r="I373" s="117">
        <v>18</v>
      </c>
      <c r="J373" s="117" t="str">
        <f>J371</f>
        <v>1560 mm id</v>
      </c>
      <c r="K373" s="131">
        <v>1</v>
      </c>
      <c r="L373" s="131" t="s">
        <v>81</v>
      </c>
      <c r="M373" s="132">
        <v>1</v>
      </c>
      <c r="N373" s="145" t="s">
        <v>81</v>
      </c>
      <c r="O373" s="133">
        <v>4</v>
      </c>
      <c r="P373" s="117" t="s">
        <v>112</v>
      </c>
      <c r="Q373" s="163">
        <f t="shared" si="78"/>
        <v>4</v>
      </c>
      <c r="R373" s="161">
        <v>1</v>
      </c>
      <c r="S373" s="163">
        <f t="shared" si="79"/>
        <v>5</v>
      </c>
      <c r="T373" s="165" t="s">
        <v>48</v>
      </c>
    </row>
    <row r="374" spans="3:20" ht="20.25" customHeight="1">
      <c r="C374" s="109"/>
      <c r="D374" s="115">
        <f t="shared" si="70"/>
        <v>374</v>
      </c>
      <c r="E374" s="119" t="s">
        <v>370</v>
      </c>
      <c r="F374" s="121">
        <f t="shared" si="80"/>
        <v>373</v>
      </c>
      <c r="G374" s="118" t="s">
        <v>348</v>
      </c>
      <c r="H374" s="118"/>
      <c r="I374" s="117">
        <v>18</v>
      </c>
      <c r="J374" s="117" t="str">
        <f>J373</f>
        <v>1560 mm id</v>
      </c>
      <c r="K374" s="131">
        <v>1</v>
      </c>
      <c r="L374" s="131" t="s">
        <v>81</v>
      </c>
      <c r="M374" s="132">
        <v>1</v>
      </c>
      <c r="N374" s="117" t="s">
        <v>81</v>
      </c>
      <c r="O374" s="133">
        <v>4</v>
      </c>
      <c r="P374" s="117" t="s">
        <v>112</v>
      </c>
      <c r="Q374" s="163">
        <f t="shared" si="78"/>
        <v>4</v>
      </c>
      <c r="R374" s="161">
        <v>1</v>
      </c>
      <c r="S374" s="163">
        <f t="shared" si="79"/>
        <v>5</v>
      </c>
      <c r="T374" s="165" t="s">
        <v>48</v>
      </c>
    </row>
    <row r="375" spans="3:20" ht="20.25" customHeight="1">
      <c r="C375" s="109"/>
      <c r="D375" s="115">
        <f t="shared" si="70"/>
        <v>375</v>
      </c>
      <c r="E375" s="119" t="s">
        <v>370</v>
      </c>
      <c r="F375" s="121">
        <f t="shared" si="80"/>
        <v>374</v>
      </c>
      <c r="G375" s="118" t="s">
        <v>348</v>
      </c>
      <c r="H375" s="118"/>
      <c r="I375" s="117">
        <v>18</v>
      </c>
      <c r="J375" s="117" t="str">
        <f>J374</f>
        <v>1560 mm id</v>
      </c>
      <c r="K375" s="131">
        <v>1</v>
      </c>
      <c r="L375" s="131" t="s">
        <v>81</v>
      </c>
      <c r="M375" s="132">
        <v>1</v>
      </c>
      <c r="N375" s="117" t="s">
        <v>81</v>
      </c>
      <c r="O375" s="133">
        <v>4</v>
      </c>
      <c r="P375" s="117" t="s">
        <v>112</v>
      </c>
      <c r="Q375" s="163">
        <f t="shared" si="78"/>
        <v>4</v>
      </c>
      <c r="R375" s="161">
        <v>1</v>
      </c>
      <c r="S375" s="163">
        <f t="shared" si="79"/>
        <v>5</v>
      </c>
      <c r="T375" s="165" t="s">
        <v>48</v>
      </c>
    </row>
    <row r="376" spans="3:20" ht="20.25" customHeight="1">
      <c r="C376" s="109">
        <f>D376</f>
        <v>376</v>
      </c>
      <c r="D376" s="115">
        <f t="shared" si="70"/>
        <v>376</v>
      </c>
      <c r="E376" s="116" t="s">
        <v>762</v>
      </c>
      <c r="F376" s="121">
        <f>D372</f>
        <v>372</v>
      </c>
      <c r="G376" s="118"/>
      <c r="H376" s="118"/>
      <c r="I376" s="117"/>
      <c r="J376" s="117"/>
      <c r="K376" s="131"/>
      <c r="L376" s="131"/>
      <c r="M376" s="132"/>
      <c r="N376" s="117"/>
      <c r="O376" s="133"/>
      <c r="P376" s="117"/>
      <c r="Q376" s="163"/>
      <c r="R376" s="161"/>
      <c r="S376" s="163"/>
      <c r="T376" s="162"/>
    </row>
    <row r="377" spans="3:20" ht="20.25" customHeight="1">
      <c r="C377" s="109"/>
      <c r="D377" s="115">
        <f t="shared" si="70"/>
        <v>377</v>
      </c>
      <c r="E377" s="119" t="s">
        <v>372</v>
      </c>
      <c r="F377" s="121">
        <f t="shared" si="80"/>
        <v>376</v>
      </c>
      <c r="G377" s="118" t="s">
        <v>52</v>
      </c>
      <c r="H377" s="118"/>
      <c r="I377" s="173">
        <v>18</v>
      </c>
      <c r="J377" s="145" t="s">
        <v>373</v>
      </c>
      <c r="K377" s="131">
        <v>1</v>
      </c>
      <c r="L377" s="131" t="s">
        <v>39</v>
      </c>
      <c r="M377" s="141">
        <f t="shared" ref="M377:M378" si="84">LEFT(J377,SEARCH(" ",J377,1)-1)*3.142*K377*0.001</f>
        <v>3.0540240000000001</v>
      </c>
      <c r="N377" s="117" t="s">
        <v>249</v>
      </c>
      <c r="O377" s="175">
        <f>VLOOKUP(I377,BM!$A$2:$X$104,2,FALSE)</f>
        <v>0.1</v>
      </c>
      <c r="P377" s="117" t="s">
        <v>112</v>
      </c>
      <c r="Q377" s="163">
        <f t="shared" si="78"/>
        <v>0.30540240000000002</v>
      </c>
      <c r="R377" s="161">
        <v>1</v>
      </c>
      <c r="S377" s="163">
        <f t="shared" si="79"/>
        <v>1.3054024</v>
      </c>
      <c r="T377" s="165" t="s">
        <v>48</v>
      </c>
    </row>
    <row r="378" spans="3:20" ht="20.25" customHeight="1">
      <c r="C378" s="109"/>
      <c r="D378" s="115">
        <f t="shared" si="70"/>
        <v>378</v>
      </c>
      <c r="E378" s="119" t="s">
        <v>372</v>
      </c>
      <c r="F378" s="121">
        <f t="shared" si="80"/>
        <v>377</v>
      </c>
      <c r="G378" s="118" t="s">
        <v>52</v>
      </c>
      <c r="H378" s="118"/>
      <c r="I378" s="117">
        <v>18</v>
      </c>
      <c r="J378" s="117" t="str">
        <f>J377</f>
        <v>972 mm lip od</v>
      </c>
      <c r="K378" s="131">
        <v>1</v>
      </c>
      <c r="L378" s="131" t="s">
        <v>39</v>
      </c>
      <c r="M378" s="141">
        <f t="shared" si="84"/>
        <v>3.0540240000000001</v>
      </c>
      <c r="N378" s="117" t="s">
        <v>249</v>
      </c>
      <c r="O378" s="175">
        <f>VLOOKUP(I378,BM!$A$2:$X$104,2,FALSE)</f>
        <v>0.1</v>
      </c>
      <c r="P378" s="117" t="s">
        <v>112</v>
      </c>
      <c r="Q378" s="163">
        <f t="shared" si="78"/>
        <v>0.30540240000000002</v>
      </c>
      <c r="R378" s="161">
        <v>1</v>
      </c>
      <c r="S378" s="163">
        <f t="shared" si="79"/>
        <v>1.3054024</v>
      </c>
      <c r="T378" s="165" t="s">
        <v>48</v>
      </c>
    </row>
    <row r="379" spans="3:20" ht="20.25" customHeight="1">
      <c r="C379" s="109">
        <f t="shared" ref="C379:C380" si="85">D379</f>
        <v>379</v>
      </c>
      <c r="D379" s="115">
        <f t="shared" si="70"/>
        <v>379</v>
      </c>
      <c r="E379" s="119" t="s">
        <v>109</v>
      </c>
      <c r="F379" s="121">
        <f>D376</f>
        <v>376</v>
      </c>
      <c r="G379" s="118" t="s">
        <v>52</v>
      </c>
      <c r="H379" s="118"/>
      <c r="I379" s="117"/>
      <c r="J379" s="117"/>
      <c r="K379" s="131">
        <v>2</v>
      </c>
      <c r="L379" s="131" t="s">
        <v>81</v>
      </c>
      <c r="M379" s="132">
        <v>2</v>
      </c>
      <c r="N379" s="117" t="s">
        <v>81</v>
      </c>
      <c r="O379" s="133">
        <v>0.5</v>
      </c>
      <c r="P379" s="117" t="s">
        <v>112</v>
      </c>
      <c r="Q379" s="163">
        <f t="shared" si="78"/>
        <v>1</v>
      </c>
      <c r="R379" s="161">
        <v>1</v>
      </c>
      <c r="S379" s="163">
        <f t="shared" si="79"/>
        <v>2</v>
      </c>
      <c r="T379" s="165" t="s">
        <v>48</v>
      </c>
    </row>
    <row r="380" spans="3:20" ht="20.25" customHeight="1">
      <c r="C380" s="109">
        <f t="shared" si="85"/>
        <v>380</v>
      </c>
      <c r="D380" s="115">
        <f t="shared" si="70"/>
        <v>380</v>
      </c>
      <c r="E380" s="116" t="s">
        <v>763</v>
      </c>
      <c r="F380" s="121">
        <f>D379</f>
        <v>379</v>
      </c>
      <c r="G380" s="118"/>
      <c r="H380" s="118"/>
      <c r="I380" s="117"/>
      <c r="J380" s="117"/>
      <c r="K380" s="131"/>
      <c r="L380" s="131"/>
      <c r="M380" s="132"/>
      <c r="N380" s="117"/>
      <c r="O380" s="133"/>
      <c r="P380" s="117"/>
      <c r="Q380" s="163"/>
      <c r="R380" s="161"/>
      <c r="S380" s="163"/>
      <c r="T380" s="162"/>
    </row>
    <row r="381" spans="3:20" ht="20.25" customHeight="1">
      <c r="C381" s="109"/>
      <c r="D381" s="115">
        <f t="shared" si="70"/>
        <v>381</v>
      </c>
      <c r="E381" s="119" t="s">
        <v>372</v>
      </c>
      <c r="F381" s="121">
        <f t="shared" si="80"/>
        <v>380</v>
      </c>
      <c r="G381" s="118" t="s">
        <v>61</v>
      </c>
      <c r="H381" s="118"/>
      <c r="I381" s="117">
        <v>18</v>
      </c>
      <c r="J381" s="117" t="str">
        <f>J378</f>
        <v>972 mm lip od</v>
      </c>
      <c r="K381" s="131">
        <v>1</v>
      </c>
      <c r="L381" s="131" t="s">
        <v>39</v>
      </c>
      <c r="M381" s="141">
        <f t="shared" ref="M381:M382" si="86">LEFT(J381,SEARCH(" ",J381,1)-1)*3.142*K381*0.001</f>
        <v>3.0540240000000001</v>
      </c>
      <c r="N381" s="117" t="s">
        <v>249</v>
      </c>
      <c r="O381" s="175">
        <f>VLOOKUP(I381,BM!$A$2:$X$104,6,FALSE)</f>
        <v>1</v>
      </c>
      <c r="P381" s="117" t="s">
        <v>112</v>
      </c>
      <c r="Q381" s="163">
        <f t="shared" si="78"/>
        <v>3.0540240000000001</v>
      </c>
      <c r="R381" s="161">
        <v>1</v>
      </c>
      <c r="S381" s="163">
        <f t="shared" si="79"/>
        <v>4.0540240000000001</v>
      </c>
      <c r="T381" s="165" t="s">
        <v>48</v>
      </c>
    </row>
    <row r="382" spans="3:20" ht="20.25" customHeight="1">
      <c r="C382" s="109"/>
      <c r="D382" s="115">
        <f t="shared" si="70"/>
        <v>382</v>
      </c>
      <c r="E382" s="119" t="s">
        <v>372</v>
      </c>
      <c r="F382" s="121">
        <f t="shared" si="80"/>
        <v>381</v>
      </c>
      <c r="G382" s="118" t="s">
        <v>61</v>
      </c>
      <c r="H382" s="118"/>
      <c r="I382" s="117">
        <v>18</v>
      </c>
      <c r="J382" s="117" t="str">
        <f>J381</f>
        <v>972 mm lip od</v>
      </c>
      <c r="K382" s="131">
        <v>1</v>
      </c>
      <c r="L382" s="131" t="s">
        <v>39</v>
      </c>
      <c r="M382" s="141">
        <f t="shared" si="86"/>
        <v>3.0540240000000001</v>
      </c>
      <c r="N382" s="117" t="s">
        <v>249</v>
      </c>
      <c r="O382" s="175">
        <f>VLOOKUP(I382,BM!$A$2:$X$104,6,FALSE)</f>
        <v>1</v>
      </c>
      <c r="P382" s="117" t="s">
        <v>112</v>
      </c>
      <c r="Q382" s="163">
        <f t="shared" si="78"/>
        <v>3.0540240000000001</v>
      </c>
      <c r="R382" s="161">
        <v>1</v>
      </c>
      <c r="S382" s="163">
        <f t="shared" si="79"/>
        <v>4.0540240000000001</v>
      </c>
      <c r="T382" s="165" t="s">
        <v>48</v>
      </c>
    </row>
    <row r="383" spans="3:20" ht="20.25" customHeight="1">
      <c r="C383" s="109"/>
      <c r="D383" s="115">
        <f t="shared" si="70"/>
        <v>383</v>
      </c>
      <c r="E383" s="119" t="s">
        <v>109</v>
      </c>
      <c r="F383" s="121">
        <f t="shared" si="80"/>
        <v>382</v>
      </c>
      <c r="G383" s="118"/>
      <c r="H383" s="118"/>
      <c r="I383" s="117"/>
      <c r="J383" s="117"/>
      <c r="K383" s="131">
        <v>1</v>
      </c>
      <c r="L383" s="131" t="s">
        <v>39</v>
      </c>
      <c r="M383" s="132">
        <v>2</v>
      </c>
      <c r="N383" s="117" t="s">
        <v>81</v>
      </c>
      <c r="O383" s="133">
        <v>0.5</v>
      </c>
      <c r="P383" s="117" t="s">
        <v>112</v>
      </c>
      <c r="Q383" s="163">
        <f t="shared" si="78"/>
        <v>1</v>
      </c>
      <c r="R383" s="161">
        <v>1</v>
      </c>
      <c r="S383" s="163">
        <f t="shared" si="79"/>
        <v>2</v>
      </c>
      <c r="T383" s="165" t="s">
        <v>48</v>
      </c>
    </row>
    <row r="384" spans="3:20" ht="20.25" customHeight="1">
      <c r="C384" s="109">
        <f>D384</f>
        <v>384</v>
      </c>
      <c r="D384" s="115">
        <f t="shared" si="70"/>
        <v>384</v>
      </c>
      <c r="E384" s="116" t="s">
        <v>375</v>
      </c>
      <c r="F384" s="121">
        <f>D380</f>
        <v>380</v>
      </c>
      <c r="G384" s="118"/>
      <c r="H384" s="118"/>
      <c r="I384" s="117"/>
      <c r="J384" s="117"/>
      <c r="K384" s="131"/>
      <c r="L384" s="131"/>
      <c r="M384" s="132"/>
      <c r="N384" s="117"/>
      <c r="O384" s="133"/>
      <c r="P384" s="117"/>
      <c r="Q384" s="163"/>
      <c r="R384" s="161"/>
      <c r="S384" s="163"/>
      <c r="T384" s="162"/>
    </row>
    <row r="385" spans="3:20" ht="20.25" customHeight="1">
      <c r="C385" s="109"/>
      <c r="D385" s="115">
        <f t="shared" si="70"/>
        <v>385</v>
      </c>
      <c r="E385" s="119" t="s">
        <v>372</v>
      </c>
      <c r="F385" s="121">
        <f t="shared" si="80"/>
        <v>384</v>
      </c>
      <c r="G385" s="118" t="s">
        <v>299</v>
      </c>
      <c r="H385" s="118"/>
      <c r="I385" s="117"/>
      <c r="J385" s="145" t="s">
        <v>376</v>
      </c>
      <c r="K385" s="131">
        <v>1</v>
      </c>
      <c r="L385" s="131" t="s">
        <v>39</v>
      </c>
      <c r="M385" s="132">
        <v>1</v>
      </c>
      <c r="N385" s="117" t="s">
        <v>249</v>
      </c>
      <c r="O385" s="175">
        <f>VLOOKUP(J385,BM!$A$2:$X$104,11,FALSE)</f>
        <v>4</v>
      </c>
      <c r="P385" s="117" t="s">
        <v>112</v>
      </c>
      <c r="Q385" s="163">
        <f t="shared" si="78"/>
        <v>4</v>
      </c>
      <c r="R385" s="161">
        <v>1</v>
      </c>
      <c r="S385" s="163">
        <f t="shared" si="79"/>
        <v>5</v>
      </c>
      <c r="T385" s="165" t="s">
        <v>48</v>
      </c>
    </row>
    <row r="386" spans="3:20" ht="20.25" customHeight="1">
      <c r="C386" s="109"/>
      <c r="D386" s="115">
        <f t="shared" si="70"/>
        <v>386</v>
      </c>
      <c r="E386" s="119" t="s">
        <v>372</v>
      </c>
      <c r="F386" s="121">
        <f t="shared" si="80"/>
        <v>385</v>
      </c>
      <c r="G386" s="118" t="s">
        <v>299</v>
      </c>
      <c r="H386" s="118"/>
      <c r="I386" s="117"/>
      <c r="J386" s="145" t="s">
        <v>376</v>
      </c>
      <c r="K386" s="131">
        <v>1</v>
      </c>
      <c r="L386" s="131" t="s">
        <v>39</v>
      </c>
      <c r="M386" s="132">
        <v>1</v>
      </c>
      <c r="N386" s="117" t="s">
        <v>249</v>
      </c>
      <c r="O386" s="175">
        <f>VLOOKUP(J386,BM!$A$2:$X$104,11,FALSE)</f>
        <v>4</v>
      </c>
      <c r="P386" s="117" t="s">
        <v>112</v>
      </c>
      <c r="Q386" s="163">
        <f t="shared" si="78"/>
        <v>4</v>
      </c>
      <c r="R386" s="161">
        <v>1</v>
      </c>
      <c r="S386" s="163">
        <f t="shared" si="79"/>
        <v>5</v>
      </c>
      <c r="T386" s="165" t="s">
        <v>48</v>
      </c>
    </row>
    <row r="387" spans="3:20" ht="20.25" customHeight="1">
      <c r="C387" s="109"/>
      <c r="D387" s="115">
        <f t="shared" ref="D387:D450" si="87">D386+1</f>
        <v>387</v>
      </c>
      <c r="E387" s="119" t="s">
        <v>377</v>
      </c>
      <c r="F387" s="121">
        <f t="shared" si="80"/>
        <v>386</v>
      </c>
      <c r="G387" s="118"/>
      <c r="H387" s="118"/>
      <c r="I387" s="117"/>
      <c r="J387" s="117"/>
      <c r="K387" s="131">
        <v>2</v>
      </c>
      <c r="L387" s="131" t="s">
        <v>39</v>
      </c>
      <c r="M387" s="132">
        <v>1</v>
      </c>
      <c r="N387" s="117" t="s">
        <v>81</v>
      </c>
      <c r="O387" s="133">
        <v>1</v>
      </c>
      <c r="P387" s="117" t="s">
        <v>112</v>
      </c>
      <c r="Q387" s="163">
        <f t="shared" si="78"/>
        <v>1</v>
      </c>
      <c r="R387" s="161">
        <v>1</v>
      </c>
      <c r="S387" s="163">
        <f t="shared" si="79"/>
        <v>2</v>
      </c>
      <c r="T387" s="165" t="s">
        <v>48</v>
      </c>
    </row>
    <row r="388" spans="3:20" ht="20.25" customHeight="1">
      <c r="C388" s="109">
        <f>D388</f>
        <v>388</v>
      </c>
      <c r="D388" s="115">
        <f t="shared" si="87"/>
        <v>388</v>
      </c>
      <c r="E388" s="116" t="s">
        <v>764</v>
      </c>
      <c r="F388" s="121">
        <f>D384</f>
        <v>384</v>
      </c>
      <c r="G388" s="118"/>
      <c r="H388" s="118"/>
      <c r="I388" s="117"/>
      <c r="J388" s="117"/>
      <c r="K388" s="131"/>
      <c r="L388" s="131"/>
      <c r="M388" s="132"/>
      <c r="N388" s="117"/>
      <c r="O388" s="133"/>
      <c r="P388" s="117"/>
      <c r="Q388" s="163"/>
      <c r="R388" s="161"/>
      <c r="S388" s="163"/>
      <c r="T388" s="162"/>
    </row>
    <row r="389" spans="3:20" ht="20.25" customHeight="1">
      <c r="C389" s="109"/>
      <c r="D389" s="115">
        <f t="shared" si="87"/>
        <v>389</v>
      </c>
      <c r="E389" s="119" t="s">
        <v>372</v>
      </c>
      <c r="F389" s="121">
        <f t="shared" si="80"/>
        <v>388</v>
      </c>
      <c r="G389" s="118" t="s">
        <v>44</v>
      </c>
      <c r="H389" s="118"/>
      <c r="I389" s="117"/>
      <c r="J389" s="117" t="s">
        <v>376</v>
      </c>
      <c r="K389" s="131">
        <v>1</v>
      </c>
      <c r="L389" s="131" t="s">
        <v>39</v>
      </c>
      <c r="M389" s="132">
        <v>1</v>
      </c>
      <c r="N389" s="145" t="s">
        <v>48</v>
      </c>
      <c r="O389" s="133">
        <v>1</v>
      </c>
      <c r="P389" s="117" t="s">
        <v>112</v>
      </c>
      <c r="Q389" s="163">
        <f t="shared" si="78"/>
        <v>1</v>
      </c>
      <c r="R389" s="161">
        <v>1</v>
      </c>
      <c r="S389" s="163">
        <f t="shared" si="79"/>
        <v>2</v>
      </c>
      <c r="T389" s="165" t="s">
        <v>48</v>
      </c>
    </row>
    <row r="390" spans="3:20" ht="20.25" customHeight="1">
      <c r="C390" s="109"/>
      <c r="D390" s="115">
        <f t="shared" si="87"/>
        <v>390</v>
      </c>
      <c r="E390" s="119" t="s">
        <v>372</v>
      </c>
      <c r="F390" s="121">
        <f t="shared" si="80"/>
        <v>389</v>
      </c>
      <c r="G390" s="118" t="s">
        <v>44</v>
      </c>
      <c r="H390" s="118"/>
      <c r="I390" s="117"/>
      <c r="J390" s="117" t="s">
        <v>376</v>
      </c>
      <c r="K390" s="131">
        <v>1</v>
      </c>
      <c r="L390" s="131" t="s">
        <v>39</v>
      </c>
      <c r="M390" s="132">
        <v>1</v>
      </c>
      <c r="N390" s="145" t="s">
        <v>48</v>
      </c>
      <c r="O390" s="133">
        <v>1</v>
      </c>
      <c r="P390" s="117" t="s">
        <v>112</v>
      </c>
      <c r="Q390" s="163">
        <f t="shared" si="78"/>
        <v>1</v>
      </c>
      <c r="R390" s="161">
        <v>1</v>
      </c>
      <c r="S390" s="163">
        <f t="shared" si="79"/>
        <v>2</v>
      </c>
      <c r="T390" s="165" t="s">
        <v>48</v>
      </c>
    </row>
    <row r="391" spans="3:20" ht="20.25" customHeight="1">
      <c r="C391" s="109"/>
      <c r="D391" s="115">
        <f t="shared" si="87"/>
        <v>391</v>
      </c>
      <c r="E391" s="119" t="s">
        <v>377</v>
      </c>
      <c r="F391" s="121">
        <f t="shared" si="80"/>
        <v>390</v>
      </c>
      <c r="G391" s="118" t="s">
        <v>44</v>
      </c>
      <c r="H391" s="118"/>
      <c r="I391" s="117"/>
      <c r="J391" s="117" t="s">
        <v>376</v>
      </c>
      <c r="K391" s="131">
        <v>2</v>
      </c>
      <c r="L391" s="131" t="s">
        <v>39</v>
      </c>
      <c r="M391" s="132">
        <v>1</v>
      </c>
      <c r="N391" s="145" t="s">
        <v>48</v>
      </c>
      <c r="O391" s="133">
        <v>1</v>
      </c>
      <c r="P391" s="117" t="s">
        <v>112</v>
      </c>
      <c r="Q391" s="163">
        <f t="shared" si="78"/>
        <v>1</v>
      </c>
      <c r="R391" s="161">
        <v>1</v>
      </c>
      <c r="S391" s="163">
        <f t="shared" si="79"/>
        <v>2</v>
      </c>
      <c r="T391" s="165" t="s">
        <v>48</v>
      </c>
    </row>
    <row r="392" spans="3:20" ht="20.25" customHeight="1">
      <c r="C392" s="109">
        <f>D392</f>
        <v>392</v>
      </c>
      <c r="D392" s="115">
        <f t="shared" si="87"/>
        <v>392</v>
      </c>
      <c r="E392" s="116" t="s">
        <v>765</v>
      </c>
      <c r="F392" s="121">
        <f>D388</f>
        <v>388</v>
      </c>
      <c r="G392" s="118"/>
      <c r="H392" s="118"/>
      <c r="I392" s="117"/>
      <c r="J392" s="117"/>
      <c r="K392" s="131"/>
      <c r="L392" s="131"/>
      <c r="M392" s="132"/>
      <c r="N392" s="117"/>
      <c r="O392" s="133"/>
      <c r="P392" s="117"/>
      <c r="Q392" s="163"/>
      <c r="R392" s="161"/>
      <c r="S392" s="163"/>
      <c r="T392" s="162"/>
    </row>
    <row r="393" spans="3:20" ht="20.25" customHeight="1">
      <c r="C393" s="109"/>
      <c r="D393" s="115">
        <f t="shared" si="87"/>
        <v>393</v>
      </c>
      <c r="E393" s="119" t="s">
        <v>380</v>
      </c>
      <c r="F393" s="121">
        <f t="shared" si="80"/>
        <v>392</v>
      </c>
      <c r="G393" s="118" t="s">
        <v>37</v>
      </c>
      <c r="H393" s="118"/>
      <c r="I393" s="117"/>
      <c r="J393" s="117"/>
      <c r="K393" s="131">
        <v>1</v>
      </c>
      <c r="L393" s="154" t="s">
        <v>39</v>
      </c>
      <c r="M393" s="132">
        <v>1</v>
      </c>
      <c r="N393" s="145" t="s">
        <v>81</v>
      </c>
      <c r="O393" s="133">
        <v>1</v>
      </c>
      <c r="P393" s="145" t="s">
        <v>162</v>
      </c>
      <c r="Q393" s="163">
        <f t="shared" si="78"/>
        <v>1</v>
      </c>
      <c r="R393" s="161"/>
      <c r="S393" s="163">
        <f t="shared" si="79"/>
        <v>1</v>
      </c>
      <c r="T393" s="165" t="s">
        <v>48</v>
      </c>
    </row>
    <row r="394" spans="3:20" ht="20.25" customHeight="1">
      <c r="C394" s="109"/>
      <c r="D394" s="115">
        <f t="shared" si="87"/>
        <v>394</v>
      </c>
      <c r="E394" s="119" t="s">
        <v>381</v>
      </c>
      <c r="F394" s="121">
        <f t="shared" si="80"/>
        <v>393</v>
      </c>
      <c r="G394" s="118" t="s">
        <v>115</v>
      </c>
      <c r="H394" s="118"/>
      <c r="I394" s="117">
        <v>12</v>
      </c>
      <c r="J394" s="117" t="str">
        <f>J382</f>
        <v>972 mm lip od</v>
      </c>
      <c r="K394" s="131">
        <v>1</v>
      </c>
      <c r="L394" s="131" t="s">
        <v>39</v>
      </c>
      <c r="M394" s="141">
        <f t="shared" ref="M394:M400" si="88">LEFT(J394,SEARCH(" ",J394,1)-1)*3.142*K394*0.001</f>
        <v>3.0540240000000001</v>
      </c>
      <c r="N394" s="117" t="s">
        <v>249</v>
      </c>
      <c r="O394" s="175">
        <f>VLOOKUP(I394,BM!$A$2:$X$104,17,FALSE)</f>
        <v>2.5</v>
      </c>
      <c r="P394" s="117" t="s">
        <v>112</v>
      </c>
      <c r="Q394" s="163">
        <f t="shared" si="78"/>
        <v>7.6350600000000002</v>
      </c>
      <c r="R394" s="161">
        <v>1</v>
      </c>
      <c r="S394" s="163">
        <f t="shared" si="79"/>
        <v>8.6350599999999993</v>
      </c>
      <c r="T394" s="165" t="s">
        <v>48</v>
      </c>
    </row>
    <row r="395" spans="3:20" ht="20.25" customHeight="1">
      <c r="C395" s="109"/>
      <c r="D395" s="115">
        <f t="shared" si="87"/>
        <v>395</v>
      </c>
      <c r="E395" s="119" t="s">
        <v>382</v>
      </c>
      <c r="F395" s="121">
        <f t="shared" si="80"/>
        <v>394</v>
      </c>
      <c r="G395" s="118" t="s">
        <v>115</v>
      </c>
      <c r="H395" s="118"/>
      <c r="I395" s="117">
        <v>12</v>
      </c>
      <c r="J395" s="117" t="str">
        <f t="shared" ref="J395:J400" si="89">J394</f>
        <v>972 mm lip od</v>
      </c>
      <c r="K395" s="131">
        <v>1</v>
      </c>
      <c r="L395" s="131" t="s">
        <v>39</v>
      </c>
      <c r="M395" s="141">
        <f t="shared" si="88"/>
        <v>3.0540240000000001</v>
      </c>
      <c r="N395" s="117" t="s">
        <v>249</v>
      </c>
      <c r="O395" s="175">
        <f>VLOOKUP(I395,BM!$A$2:$X$104,17,FALSE)</f>
        <v>2.5</v>
      </c>
      <c r="P395" s="117" t="s">
        <v>112</v>
      </c>
      <c r="Q395" s="163">
        <f t="shared" si="78"/>
        <v>7.6350600000000002</v>
      </c>
      <c r="R395" s="161">
        <v>1</v>
      </c>
      <c r="S395" s="163">
        <f t="shared" si="79"/>
        <v>8.6350599999999993</v>
      </c>
      <c r="T395" s="165" t="s">
        <v>48</v>
      </c>
    </row>
    <row r="396" spans="3:20" ht="20.25" customHeight="1">
      <c r="C396" s="109"/>
      <c r="D396" s="115">
        <f t="shared" si="87"/>
        <v>396</v>
      </c>
      <c r="E396" s="119" t="s">
        <v>383</v>
      </c>
      <c r="F396" s="121">
        <f t="shared" si="80"/>
        <v>395</v>
      </c>
      <c r="G396" s="118" t="s">
        <v>115</v>
      </c>
      <c r="H396" s="118"/>
      <c r="I396" s="117">
        <v>12</v>
      </c>
      <c r="J396" s="117" t="str">
        <f t="shared" si="89"/>
        <v>972 mm lip od</v>
      </c>
      <c r="K396" s="131">
        <v>1</v>
      </c>
      <c r="L396" s="131" t="s">
        <v>39</v>
      </c>
      <c r="M396" s="141">
        <f t="shared" si="88"/>
        <v>3.0540240000000001</v>
      </c>
      <c r="N396" s="117" t="s">
        <v>249</v>
      </c>
      <c r="O396" s="175">
        <f>VLOOKUP(I396,BM!$A$2:$X$104,17,FALSE)</f>
        <v>2.5</v>
      </c>
      <c r="P396" s="117" t="s">
        <v>112</v>
      </c>
      <c r="Q396" s="163">
        <f t="shared" si="78"/>
        <v>7.6350600000000002</v>
      </c>
      <c r="R396" s="161">
        <v>1</v>
      </c>
      <c r="S396" s="163">
        <f t="shared" si="79"/>
        <v>8.6350599999999993</v>
      </c>
      <c r="T396" s="165" t="s">
        <v>48</v>
      </c>
    </row>
    <row r="397" spans="3:20" ht="20.25" customHeight="1">
      <c r="C397" s="109"/>
      <c r="D397" s="115">
        <f t="shared" si="87"/>
        <v>397</v>
      </c>
      <c r="E397" s="119" t="s">
        <v>384</v>
      </c>
      <c r="F397" s="121">
        <f t="shared" si="80"/>
        <v>396</v>
      </c>
      <c r="G397" s="118" t="s">
        <v>44</v>
      </c>
      <c r="H397" s="118"/>
      <c r="I397" s="117">
        <v>12</v>
      </c>
      <c r="J397" s="117" t="str">
        <f t="shared" si="89"/>
        <v>972 mm lip od</v>
      </c>
      <c r="K397" s="131">
        <v>2</v>
      </c>
      <c r="L397" s="131" t="s">
        <v>39</v>
      </c>
      <c r="M397" s="141">
        <f t="shared" si="88"/>
        <v>6.1080480000000001</v>
      </c>
      <c r="N397" s="117" t="s">
        <v>249</v>
      </c>
      <c r="O397" s="133">
        <v>1</v>
      </c>
      <c r="P397" s="117" t="s">
        <v>112</v>
      </c>
      <c r="Q397" s="163">
        <f t="shared" si="78"/>
        <v>6.1080480000000001</v>
      </c>
      <c r="R397" s="161">
        <v>1</v>
      </c>
      <c r="S397" s="163">
        <f t="shared" si="79"/>
        <v>7.1080480000000001</v>
      </c>
      <c r="T397" s="165" t="s">
        <v>48</v>
      </c>
    </row>
    <row r="398" spans="3:20" ht="20.25" customHeight="1">
      <c r="C398" s="109"/>
      <c r="D398" s="115">
        <f t="shared" si="87"/>
        <v>398</v>
      </c>
      <c r="E398" s="119" t="s">
        <v>385</v>
      </c>
      <c r="F398" s="121">
        <f t="shared" si="80"/>
        <v>397</v>
      </c>
      <c r="G398" s="118" t="s">
        <v>386</v>
      </c>
      <c r="H398" s="118"/>
      <c r="I398" s="117">
        <v>8</v>
      </c>
      <c r="J398" s="117" t="str">
        <f t="shared" si="89"/>
        <v>972 mm lip od</v>
      </c>
      <c r="K398" s="131">
        <v>1</v>
      </c>
      <c r="L398" s="131" t="s">
        <v>39</v>
      </c>
      <c r="M398" s="141">
        <f t="shared" si="88"/>
        <v>3.0540240000000001</v>
      </c>
      <c r="N398" s="117" t="s">
        <v>249</v>
      </c>
      <c r="O398" s="175">
        <f>VLOOKUP(I398,BM!$A$2:$X$104,17,FALSE)</f>
        <v>1.36</v>
      </c>
      <c r="P398" s="117" t="s">
        <v>112</v>
      </c>
      <c r="Q398" s="163">
        <f t="shared" si="78"/>
        <v>4.1534726400000004</v>
      </c>
      <c r="R398" s="161">
        <v>1</v>
      </c>
      <c r="S398" s="163">
        <f t="shared" si="79"/>
        <v>5.1534726400000004</v>
      </c>
      <c r="T398" s="165" t="s">
        <v>48</v>
      </c>
    </row>
    <row r="399" spans="3:20" ht="20.25" customHeight="1">
      <c r="C399" s="109"/>
      <c r="D399" s="115">
        <f t="shared" si="87"/>
        <v>399</v>
      </c>
      <c r="E399" s="119" t="s">
        <v>387</v>
      </c>
      <c r="F399" s="121">
        <f t="shared" si="80"/>
        <v>398</v>
      </c>
      <c r="G399" s="118" t="s">
        <v>386</v>
      </c>
      <c r="H399" s="118"/>
      <c r="I399" s="117">
        <v>8</v>
      </c>
      <c r="J399" s="117" t="str">
        <f t="shared" si="89"/>
        <v>972 mm lip od</v>
      </c>
      <c r="K399" s="131">
        <v>1</v>
      </c>
      <c r="L399" s="131" t="s">
        <v>39</v>
      </c>
      <c r="M399" s="141">
        <f t="shared" si="88"/>
        <v>3.0540240000000001</v>
      </c>
      <c r="N399" s="117" t="s">
        <v>249</v>
      </c>
      <c r="O399" s="175">
        <f>VLOOKUP(I399,BM!$A$2:$X$104,17,FALSE)</f>
        <v>1.36</v>
      </c>
      <c r="P399" s="117" t="s">
        <v>112</v>
      </c>
      <c r="Q399" s="163">
        <f t="shared" si="78"/>
        <v>4.1534726400000004</v>
      </c>
      <c r="R399" s="161">
        <v>1</v>
      </c>
      <c r="S399" s="163">
        <f t="shared" si="79"/>
        <v>5.1534726400000004</v>
      </c>
      <c r="T399" s="165" t="s">
        <v>48</v>
      </c>
    </row>
    <row r="400" spans="3:20" ht="20.25" customHeight="1">
      <c r="C400" s="109"/>
      <c r="D400" s="115">
        <f t="shared" si="87"/>
        <v>400</v>
      </c>
      <c r="E400" s="119" t="s">
        <v>388</v>
      </c>
      <c r="F400" s="121">
        <f t="shared" si="80"/>
        <v>399</v>
      </c>
      <c r="G400" s="118" t="s">
        <v>386</v>
      </c>
      <c r="H400" s="118"/>
      <c r="I400" s="117">
        <v>8</v>
      </c>
      <c r="J400" s="117" t="str">
        <f t="shared" si="89"/>
        <v>972 mm lip od</v>
      </c>
      <c r="K400" s="131">
        <v>0</v>
      </c>
      <c r="L400" s="131" t="s">
        <v>39</v>
      </c>
      <c r="M400" s="141">
        <f t="shared" si="88"/>
        <v>0</v>
      </c>
      <c r="N400" s="117" t="s">
        <v>249</v>
      </c>
      <c r="O400" s="175">
        <f>VLOOKUP(I400,BM!$A$2:$X$104,17,FALSE)</f>
        <v>1.36</v>
      </c>
      <c r="P400" s="117" t="s">
        <v>112</v>
      </c>
      <c r="Q400" s="163">
        <f t="shared" si="78"/>
        <v>0</v>
      </c>
      <c r="R400" s="161">
        <v>1</v>
      </c>
      <c r="S400" s="163">
        <f t="shared" si="79"/>
        <v>1</v>
      </c>
      <c r="T400" s="165" t="s">
        <v>48</v>
      </c>
    </row>
    <row r="401" spans="3:22" ht="20.25" customHeight="1">
      <c r="C401" s="109">
        <f>D401</f>
        <v>401</v>
      </c>
      <c r="D401" s="115">
        <f t="shared" si="87"/>
        <v>401</v>
      </c>
      <c r="E401" s="116" t="s">
        <v>389</v>
      </c>
      <c r="F401" s="121">
        <f>D392</f>
        <v>392</v>
      </c>
      <c r="G401" s="118"/>
      <c r="H401" s="118"/>
      <c r="I401" s="117"/>
      <c r="J401" s="117"/>
      <c r="K401" s="131"/>
      <c r="L401" s="131"/>
      <c r="M401" s="132"/>
      <c r="N401" s="117"/>
      <c r="O401" s="133"/>
      <c r="P401" s="117"/>
      <c r="Q401" s="163"/>
      <c r="R401" s="161"/>
      <c r="S401" s="163"/>
      <c r="T401" s="162"/>
    </row>
    <row r="402" spans="3:22" ht="20.25" customHeight="1">
      <c r="C402" s="109"/>
      <c r="D402" s="115">
        <f t="shared" si="87"/>
        <v>402</v>
      </c>
      <c r="E402" s="119" t="s">
        <v>390</v>
      </c>
      <c r="F402" s="121">
        <f t="shared" si="80"/>
        <v>401</v>
      </c>
      <c r="G402" s="118" t="s">
        <v>111</v>
      </c>
      <c r="H402" s="118"/>
      <c r="I402" s="117">
        <v>25</v>
      </c>
      <c r="J402" s="125" t="s">
        <v>391</v>
      </c>
      <c r="K402" s="131">
        <v>2</v>
      </c>
      <c r="L402" s="131" t="s">
        <v>39</v>
      </c>
      <c r="M402" s="141">
        <f>LEFT(J402,SEARCH(" ",J402,1)-1)*3.142*K402*2*0.001</f>
        <v>20.058527999999999</v>
      </c>
      <c r="N402" s="117" t="s">
        <v>81</v>
      </c>
      <c r="O402" s="133">
        <v>0.5</v>
      </c>
      <c r="P402" s="117" t="s">
        <v>162</v>
      </c>
      <c r="Q402" s="163">
        <f t="shared" si="78"/>
        <v>10.029264</v>
      </c>
      <c r="R402" s="161">
        <v>1</v>
      </c>
      <c r="S402" s="163">
        <f t="shared" si="79"/>
        <v>11.029264</v>
      </c>
      <c r="T402" s="165" t="s">
        <v>48</v>
      </c>
    </row>
    <row r="403" spans="3:22" ht="20.25" customHeight="1">
      <c r="C403" s="109"/>
      <c r="D403" s="115">
        <f t="shared" si="87"/>
        <v>403</v>
      </c>
      <c r="E403" s="119" t="s">
        <v>392</v>
      </c>
      <c r="F403" s="121">
        <f t="shared" si="80"/>
        <v>402</v>
      </c>
      <c r="G403" s="118" t="s">
        <v>156</v>
      </c>
      <c r="H403" s="118"/>
      <c r="I403" s="117">
        <v>12</v>
      </c>
      <c r="J403" s="117" t="str">
        <f>J402</f>
        <v>1596 mm od</v>
      </c>
      <c r="K403" s="131">
        <v>2</v>
      </c>
      <c r="L403" s="131" t="s">
        <v>249</v>
      </c>
      <c r="M403" s="141">
        <f>LEFT(J403,SEARCH(" ",J403,1)-1)*3.142*K403*2*0.001</f>
        <v>20.058527999999999</v>
      </c>
      <c r="N403" s="117" t="s">
        <v>249</v>
      </c>
      <c r="O403" s="175">
        <f>VLOOKUP(I403,BM!$A$2:$X$104,22,FALSE)</f>
        <v>1.6</v>
      </c>
      <c r="P403" s="117" t="s">
        <v>162</v>
      </c>
      <c r="Q403" s="163">
        <f t="shared" si="78"/>
        <v>32.0936448</v>
      </c>
      <c r="R403" s="161">
        <v>1</v>
      </c>
      <c r="S403" s="163">
        <f t="shared" si="79"/>
        <v>33.0936448</v>
      </c>
      <c r="T403" s="165" t="s">
        <v>48</v>
      </c>
    </row>
    <row r="404" spans="3:22" ht="20.25" customHeight="1">
      <c r="C404" s="109"/>
      <c r="D404" s="115">
        <f t="shared" si="87"/>
        <v>404</v>
      </c>
      <c r="E404" s="119" t="s">
        <v>393</v>
      </c>
      <c r="F404" s="121">
        <f t="shared" si="80"/>
        <v>403</v>
      </c>
      <c r="G404" s="118" t="s">
        <v>394</v>
      </c>
      <c r="H404" s="118"/>
      <c r="I404" s="117"/>
      <c r="J404" s="121" t="str">
        <f>J403</f>
        <v>1596 mm od</v>
      </c>
      <c r="K404" s="131">
        <v>2</v>
      </c>
      <c r="L404" s="131" t="s">
        <v>81</v>
      </c>
      <c r="M404" s="132">
        <f>K404</f>
        <v>2</v>
      </c>
      <c r="N404" s="117" t="s">
        <v>81</v>
      </c>
      <c r="O404" s="133">
        <v>8</v>
      </c>
      <c r="P404" s="117" t="s">
        <v>162</v>
      </c>
      <c r="Q404" s="163">
        <f t="shared" si="78"/>
        <v>16</v>
      </c>
      <c r="R404" s="161">
        <v>1</v>
      </c>
      <c r="S404" s="163">
        <f t="shared" si="79"/>
        <v>17</v>
      </c>
      <c r="T404" s="165" t="s">
        <v>48</v>
      </c>
    </row>
    <row r="405" spans="3:22" ht="20.25" customHeight="1">
      <c r="C405" s="109"/>
      <c r="D405" s="115">
        <f t="shared" si="87"/>
        <v>405</v>
      </c>
      <c r="E405" s="119" t="s">
        <v>395</v>
      </c>
      <c r="F405" s="121">
        <f t="shared" si="80"/>
        <v>404</v>
      </c>
      <c r="G405" s="118" t="s">
        <v>396</v>
      </c>
      <c r="H405" s="118"/>
      <c r="I405" s="117"/>
      <c r="J405" s="121" t="str">
        <f>J404</f>
        <v>1596 mm od</v>
      </c>
      <c r="K405" s="131">
        <v>2</v>
      </c>
      <c r="L405" s="131" t="s">
        <v>81</v>
      </c>
      <c r="M405" s="132">
        <f>K405</f>
        <v>2</v>
      </c>
      <c r="N405" s="117" t="s">
        <v>81</v>
      </c>
      <c r="O405" s="133">
        <v>6</v>
      </c>
      <c r="P405" s="117" t="s">
        <v>162</v>
      </c>
      <c r="Q405" s="163">
        <f t="shared" si="78"/>
        <v>12</v>
      </c>
      <c r="R405" s="161">
        <v>1</v>
      </c>
      <c r="S405" s="163">
        <f t="shared" si="79"/>
        <v>13</v>
      </c>
      <c r="T405" s="165" t="s">
        <v>48</v>
      </c>
    </row>
    <row r="406" spans="3:22" ht="20.25" customHeight="1">
      <c r="C406" s="109"/>
      <c r="D406" s="115">
        <f t="shared" si="87"/>
        <v>406</v>
      </c>
      <c r="E406" s="119" t="s">
        <v>397</v>
      </c>
      <c r="F406" s="121">
        <f t="shared" si="80"/>
        <v>405</v>
      </c>
      <c r="G406" s="118" t="s">
        <v>156</v>
      </c>
      <c r="H406" s="118"/>
      <c r="I406" s="117">
        <v>12</v>
      </c>
      <c r="J406" s="145" t="s">
        <v>398</v>
      </c>
      <c r="K406" s="131">
        <v>1</v>
      </c>
      <c r="L406" s="154" t="s">
        <v>81</v>
      </c>
      <c r="M406" s="155">
        <f>(300*16+1536*3.142*360^-1*120*2)*2*0.001</f>
        <v>16.034815999999999</v>
      </c>
      <c r="N406" s="117" t="s">
        <v>249</v>
      </c>
      <c r="O406" s="175">
        <f>VLOOKUP(I406,BM!$A$2:$X$104,22,FALSE)</f>
        <v>1.6</v>
      </c>
      <c r="P406" s="117" t="s">
        <v>162</v>
      </c>
      <c r="Q406" s="163">
        <f t="shared" si="78"/>
        <v>25.655705600000001</v>
      </c>
      <c r="R406" s="161">
        <v>1</v>
      </c>
      <c r="S406" s="163">
        <f t="shared" si="79"/>
        <v>26.655705600000001</v>
      </c>
      <c r="T406" s="165" t="s">
        <v>48</v>
      </c>
      <c r="V406" s="100">
        <f>(135+135+25)*8+(1596*3.142*0.33)</f>
        <v>4014.8285599999999</v>
      </c>
    </row>
    <row r="407" spans="3:22" ht="20.25" customHeight="1">
      <c r="C407" s="109"/>
      <c r="D407" s="115">
        <f t="shared" si="87"/>
        <v>407</v>
      </c>
      <c r="E407" s="119" t="s">
        <v>399</v>
      </c>
      <c r="F407" s="121">
        <f t="shared" si="80"/>
        <v>406</v>
      </c>
      <c r="G407" s="118" t="s">
        <v>149</v>
      </c>
      <c r="H407" s="118"/>
      <c r="I407" s="117"/>
      <c r="J407" s="117"/>
      <c r="K407" s="131">
        <v>1</v>
      </c>
      <c r="L407" s="131" t="s">
        <v>39</v>
      </c>
      <c r="M407" s="132">
        <v>1</v>
      </c>
      <c r="N407" s="117" t="s">
        <v>81</v>
      </c>
      <c r="O407" s="133">
        <v>8</v>
      </c>
      <c r="P407" s="117" t="s">
        <v>162</v>
      </c>
      <c r="Q407" s="163">
        <f t="shared" si="78"/>
        <v>8</v>
      </c>
      <c r="R407" s="161">
        <v>1</v>
      </c>
      <c r="S407" s="163">
        <f t="shared" si="79"/>
        <v>9</v>
      </c>
      <c r="T407" s="165" t="s">
        <v>48</v>
      </c>
    </row>
    <row r="408" spans="3:22" ht="20.25" customHeight="1">
      <c r="C408" s="109">
        <f>D408</f>
        <v>408</v>
      </c>
      <c r="D408" s="115">
        <f t="shared" si="87"/>
        <v>408</v>
      </c>
      <c r="E408" s="116" t="s">
        <v>400</v>
      </c>
      <c r="F408" s="121">
        <f>D401</f>
        <v>401</v>
      </c>
      <c r="G408" s="118"/>
      <c r="H408" s="118"/>
      <c r="I408" s="117"/>
      <c r="J408" s="117"/>
      <c r="K408" s="131"/>
      <c r="L408" s="131"/>
      <c r="M408" s="132"/>
      <c r="N408" s="117"/>
      <c r="O408" s="133"/>
      <c r="P408" s="117"/>
      <c r="Q408" s="163"/>
      <c r="R408" s="161"/>
      <c r="S408" s="163"/>
      <c r="T408" s="162"/>
    </row>
    <row r="409" spans="3:22" ht="20.25" customHeight="1">
      <c r="C409" s="109"/>
      <c r="D409" s="115">
        <f t="shared" si="87"/>
        <v>409</v>
      </c>
      <c r="E409" s="119" t="s">
        <v>401</v>
      </c>
      <c r="F409" s="121">
        <f t="shared" si="80"/>
        <v>408</v>
      </c>
      <c r="G409" s="118" t="s">
        <v>402</v>
      </c>
      <c r="H409" s="118"/>
      <c r="I409" s="117"/>
      <c r="J409" s="117"/>
      <c r="K409" s="131">
        <v>1</v>
      </c>
      <c r="L409" s="131" t="s">
        <v>39</v>
      </c>
      <c r="M409" s="132">
        <v>1</v>
      </c>
      <c r="N409" s="117" t="s">
        <v>81</v>
      </c>
      <c r="O409" s="133">
        <v>4</v>
      </c>
      <c r="P409" s="117" t="s">
        <v>162</v>
      </c>
      <c r="Q409" s="163">
        <f t="shared" si="78"/>
        <v>4</v>
      </c>
      <c r="R409" s="161">
        <v>1</v>
      </c>
      <c r="S409" s="163">
        <f t="shared" si="79"/>
        <v>5</v>
      </c>
      <c r="T409" s="165" t="s">
        <v>48</v>
      </c>
    </row>
    <row r="410" spans="3:22" ht="20.25" customHeight="1">
      <c r="C410" s="109"/>
      <c r="D410" s="115">
        <f t="shared" si="87"/>
        <v>410</v>
      </c>
      <c r="E410" s="119" t="s">
        <v>403</v>
      </c>
      <c r="F410" s="121">
        <f t="shared" si="80"/>
        <v>409</v>
      </c>
      <c r="G410" s="118" t="s">
        <v>172</v>
      </c>
      <c r="H410" s="118"/>
      <c r="I410" s="117"/>
      <c r="J410" s="117"/>
      <c r="K410" s="131">
        <v>1</v>
      </c>
      <c r="L410" s="154" t="s">
        <v>39</v>
      </c>
      <c r="M410" s="132">
        <v>1</v>
      </c>
      <c r="N410" s="117" t="s">
        <v>81</v>
      </c>
      <c r="O410" s="133">
        <v>4</v>
      </c>
      <c r="P410" s="117" t="s">
        <v>162</v>
      </c>
      <c r="Q410" s="163">
        <f t="shared" si="78"/>
        <v>4</v>
      </c>
      <c r="R410" s="161">
        <v>1</v>
      </c>
      <c r="S410" s="163">
        <f t="shared" si="79"/>
        <v>5</v>
      </c>
      <c r="T410" s="165" t="s">
        <v>48</v>
      </c>
    </row>
    <row r="411" spans="3:22" ht="20.25" customHeight="1">
      <c r="C411" s="109"/>
      <c r="D411" s="115">
        <f t="shared" si="87"/>
        <v>411</v>
      </c>
      <c r="E411" s="119" t="s">
        <v>404</v>
      </c>
      <c r="F411" s="121">
        <f t="shared" si="80"/>
        <v>410</v>
      </c>
      <c r="G411" s="118" t="s">
        <v>115</v>
      </c>
      <c r="H411" s="118"/>
      <c r="I411" s="117">
        <v>12</v>
      </c>
      <c r="J411" s="117"/>
      <c r="K411" s="131">
        <v>6</v>
      </c>
      <c r="L411" s="131" t="s">
        <v>139</v>
      </c>
      <c r="M411" s="155">
        <f>430*12*0.001</f>
        <v>5.16</v>
      </c>
      <c r="N411" s="117" t="s">
        <v>249</v>
      </c>
      <c r="O411" s="175">
        <f>VLOOKUP(I411,BM!$A$2:$X$104,22,FALSE)</f>
        <v>1.6</v>
      </c>
      <c r="P411" s="117" t="s">
        <v>162</v>
      </c>
      <c r="Q411" s="163">
        <f t="shared" si="78"/>
        <v>8.2560000000000002</v>
      </c>
      <c r="R411" s="161">
        <v>1</v>
      </c>
      <c r="S411" s="163">
        <f t="shared" si="79"/>
        <v>9.2560000000000002</v>
      </c>
      <c r="T411" s="165" t="s">
        <v>48</v>
      </c>
    </row>
    <row r="412" spans="3:22" ht="20.25" customHeight="1">
      <c r="C412" s="109">
        <f>D412</f>
        <v>412</v>
      </c>
      <c r="D412" s="115">
        <f t="shared" si="87"/>
        <v>412</v>
      </c>
      <c r="E412" s="116" t="s">
        <v>405</v>
      </c>
      <c r="F412" s="180">
        <f>D408</f>
        <v>408</v>
      </c>
      <c r="G412" s="118"/>
      <c r="H412" s="118"/>
      <c r="I412" s="117"/>
      <c r="J412" s="117"/>
      <c r="K412" s="131"/>
      <c r="L412" s="131"/>
      <c r="M412" s="132"/>
      <c r="N412" s="117"/>
      <c r="O412" s="133"/>
      <c r="P412" s="117"/>
      <c r="Q412" s="163"/>
      <c r="R412" s="161"/>
      <c r="S412" s="163"/>
      <c r="T412" s="162"/>
    </row>
    <row r="413" spans="3:22" ht="20.25" customHeight="1">
      <c r="C413" s="109"/>
      <c r="D413" s="115">
        <f t="shared" si="87"/>
        <v>413</v>
      </c>
      <c r="E413" s="119" t="s">
        <v>406</v>
      </c>
      <c r="F413" s="121">
        <f t="shared" ref="F413:F476" si="90">D412</f>
        <v>412</v>
      </c>
      <c r="G413" s="118" t="s">
        <v>44</v>
      </c>
      <c r="H413" s="118"/>
      <c r="I413" s="117">
        <v>18</v>
      </c>
      <c r="J413" s="117" t="s">
        <v>407</v>
      </c>
      <c r="K413" s="131">
        <v>1</v>
      </c>
      <c r="L413" s="131" t="s">
        <v>39</v>
      </c>
      <c r="M413" s="132">
        <v>1</v>
      </c>
      <c r="N413" s="117"/>
      <c r="O413" s="133">
        <v>12</v>
      </c>
      <c r="P413" s="117" t="s">
        <v>162</v>
      </c>
      <c r="Q413" s="163">
        <f t="shared" ref="Q413:Q474" si="91">M413*O413</f>
        <v>12</v>
      </c>
      <c r="R413" s="161">
        <v>1</v>
      </c>
      <c r="S413" s="163">
        <f t="shared" ref="S413:S474" si="92">Q413+R413</f>
        <v>13</v>
      </c>
      <c r="T413" s="165" t="s">
        <v>48</v>
      </c>
    </row>
    <row r="414" spans="3:22" ht="20.25" customHeight="1">
      <c r="C414" s="109"/>
      <c r="D414" s="115">
        <f t="shared" si="87"/>
        <v>414</v>
      </c>
      <c r="E414" s="119" t="s">
        <v>64</v>
      </c>
      <c r="F414" s="121">
        <f t="shared" si="90"/>
        <v>413</v>
      </c>
      <c r="G414" s="118" t="s">
        <v>44</v>
      </c>
      <c r="H414" s="118"/>
      <c r="I414" s="117">
        <v>18</v>
      </c>
      <c r="J414" s="121" t="str">
        <f>J413</f>
        <v>6130 lg</v>
      </c>
      <c r="K414" s="177">
        <f>K413</f>
        <v>1</v>
      </c>
      <c r="L414" s="177" t="str">
        <f>L413</f>
        <v>No</v>
      </c>
      <c r="M414" s="155">
        <f>M413</f>
        <v>1</v>
      </c>
      <c r="N414" s="117"/>
      <c r="O414" s="133">
        <v>1</v>
      </c>
      <c r="P414" s="117" t="s">
        <v>41</v>
      </c>
      <c r="Q414" s="163">
        <f t="shared" si="91"/>
        <v>1</v>
      </c>
      <c r="R414" s="161"/>
      <c r="S414" s="163">
        <f t="shared" si="92"/>
        <v>1</v>
      </c>
      <c r="T414" s="165" t="s">
        <v>41</v>
      </c>
    </row>
    <row r="415" spans="3:22" ht="20.25" customHeight="1">
      <c r="C415" s="109">
        <f t="shared" ref="C415:C416" si="93">D415</f>
        <v>415</v>
      </c>
      <c r="D415" s="115">
        <f t="shared" si="87"/>
        <v>415</v>
      </c>
      <c r="E415" s="176" t="s">
        <v>766</v>
      </c>
      <c r="F415" s="121"/>
      <c r="G415" s="118"/>
      <c r="H415" s="118"/>
      <c r="I415" s="117"/>
      <c r="J415" s="117"/>
      <c r="K415" s="131"/>
      <c r="L415" s="131"/>
      <c r="M415" s="132"/>
      <c r="N415" s="117"/>
      <c r="O415" s="133"/>
      <c r="P415" s="117"/>
      <c r="Q415" s="163"/>
      <c r="R415" s="161"/>
      <c r="S415" s="163"/>
      <c r="T415" s="162"/>
    </row>
    <row r="416" spans="3:22" ht="20.25" customHeight="1">
      <c r="C416" s="109">
        <f t="shared" si="93"/>
        <v>416</v>
      </c>
      <c r="D416" s="115">
        <f t="shared" si="87"/>
        <v>416</v>
      </c>
      <c r="E416" s="116" t="s">
        <v>426</v>
      </c>
      <c r="F416" s="125">
        <f>D5</f>
        <v>5</v>
      </c>
      <c r="G416" s="118"/>
      <c r="H416" s="118"/>
      <c r="I416" s="117"/>
      <c r="J416" s="117"/>
      <c r="K416" s="131"/>
      <c r="L416" s="131"/>
      <c r="M416" s="132"/>
      <c r="N416" s="117"/>
      <c r="O416" s="133"/>
      <c r="P416" s="117"/>
      <c r="Q416" s="163"/>
      <c r="R416" s="161"/>
      <c r="S416" s="163"/>
      <c r="T416" s="162"/>
    </row>
    <row r="417" spans="3:20" ht="20.25" customHeight="1">
      <c r="C417" s="109"/>
      <c r="D417" s="115">
        <f t="shared" si="87"/>
        <v>417</v>
      </c>
      <c r="E417" s="119" t="s">
        <v>410</v>
      </c>
      <c r="F417" s="121">
        <f t="shared" si="90"/>
        <v>416</v>
      </c>
      <c r="G417" s="118" t="s">
        <v>37</v>
      </c>
      <c r="H417" s="118"/>
      <c r="I417" s="117"/>
      <c r="J417" s="117"/>
      <c r="K417" s="131">
        <v>1</v>
      </c>
      <c r="L417" s="154" t="s">
        <v>39</v>
      </c>
      <c r="M417" s="132">
        <v>1</v>
      </c>
      <c r="N417" s="145" t="s">
        <v>39</v>
      </c>
      <c r="O417" s="133">
        <v>4</v>
      </c>
      <c r="P417" s="145" t="s">
        <v>41</v>
      </c>
      <c r="Q417" s="163">
        <f t="shared" si="91"/>
        <v>4</v>
      </c>
      <c r="R417" s="161"/>
      <c r="S417" s="163">
        <f t="shared" si="92"/>
        <v>4</v>
      </c>
      <c r="T417" s="165" t="s">
        <v>41</v>
      </c>
    </row>
    <row r="418" spans="3:20" ht="20.25" customHeight="1">
      <c r="C418" s="109"/>
      <c r="D418" s="115">
        <f t="shared" si="87"/>
        <v>418</v>
      </c>
      <c r="E418" s="119" t="s">
        <v>411</v>
      </c>
      <c r="F418" s="121">
        <f t="shared" si="90"/>
        <v>417</v>
      </c>
      <c r="G418" s="118" t="s">
        <v>201</v>
      </c>
      <c r="H418" s="118"/>
      <c r="I418" s="117">
        <v>18</v>
      </c>
      <c r="J418" s="145" t="s">
        <v>412</v>
      </c>
      <c r="K418" s="131">
        <v>1</v>
      </c>
      <c r="L418" s="131" t="s">
        <v>81</v>
      </c>
      <c r="M418" s="141">
        <f t="shared" ref="M418:M422" si="94">LEFT(J418,SEARCH(" ",J418,1)-1)*K418*0.001</f>
        <v>0.83100000000000007</v>
      </c>
      <c r="N418" s="117" t="s">
        <v>139</v>
      </c>
      <c r="O418" s="175">
        <f>VLOOKUP(I418,BM!$A$2:$X$104,2,FALSE)</f>
        <v>0.1</v>
      </c>
      <c r="P418" s="117" t="s">
        <v>112</v>
      </c>
      <c r="Q418" s="163">
        <f t="shared" si="91"/>
        <v>8.3100000000000007E-2</v>
      </c>
      <c r="R418" s="161">
        <v>1</v>
      </c>
      <c r="S418" s="163">
        <f t="shared" si="92"/>
        <v>1.0831</v>
      </c>
      <c r="T418" s="165" t="s">
        <v>48</v>
      </c>
    </row>
    <row r="419" spans="3:20" ht="20.25" customHeight="1">
      <c r="C419" s="109"/>
      <c r="D419" s="115">
        <f t="shared" si="87"/>
        <v>419</v>
      </c>
      <c r="E419" s="119" t="s">
        <v>413</v>
      </c>
      <c r="F419" s="121">
        <f t="shared" si="90"/>
        <v>418</v>
      </c>
      <c r="G419" s="118" t="s">
        <v>52</v>
      </c>
      <c r="H419" s="118"/>
      <c r="I419" s="121">
        <f t="shared" ref="I419:J422" si="95">I418</f>
        <v>18</v>
      </c>
      <c r="J419" s="121" t="str">
        <f>J418</f>
        <v>831 mm</v>
      </c>
      <c r="K419" s="131">
        <v>1</v>
      </c>
      <c r="L419" s="131" t="s">
        <v>81</v>
      </c>
      <c r="M419" s="141">
        <f t="shared" si="94"/>
        <v>0.83100000000000007</v>
      </c>
      <c r="N419" s="117" t="s">
        <v>139</v>
      </c>
      <c r="O419" s="175">
        <f>VLOOKUP(I419,BM!$A$2:$X$104,3,FALSE)</f>
        <v>0.25</v>
      </c>
      <c r="P419" s="117" t="s">
        <v>112</v>
      </c>
      <c r="Q419" s="163">
        <f t="shared" si="91"/>
        <v>0.20775000000000002</v>
      </c>
      <c r="R419" s="161">
        <v>1</v>
      </c>
      <c r="S419" s="163">
        <f t="shared" si="92"/>
        <v>1.2077500000000001</v>
      </c>
      <c r="T419" s="165" t="s">
        <v>48</v>
      </c>
    </row>
    <row r="420" spans="3:20" ht="20.25" customHeight="1">
      <c r="C420" s="109"/>
      <c r="D420" s="115">
        <f t="shared" si="87"/>
        <v>420</v>
      </c>
      <c r="E420" s="119" t="s">
        <v>414</v>
      </c>
      <c r="F420" s="121">
        <f t="shared" si="90"/>
        <v>419</v>
      </c>
      <c r="G420" s="118" t="s">
        <v>61</v>
      </c>
      <c r="H420" s="118"/>
      <c r="I420" s="121">
        <f t="shared" si="95"/>
        <v>18</v>
      </c>
      <c r="J420" s="121" t="str">
        <f t="shared" si="95"/>
        <v>831 mm</v>
      </c>
      <c r="K420" s="131">
        <v>1</v>
      </c>
      <c r="L420" s="131" t="s">
        <v>81</v>
      </c>
      <c r="M420" s="141">
        <f t="shared" si="94"/>
        <v>0.83100000000000007</v>
      </c>
      <c r="N420" s="117" t="s">
        <v>139</v>
      </c>
      <c r="O420" s="175">
        <f>VLOOKUP(I420,BM!$A$2:$X$104,4,FALSE)</f>
        <v>0.15</v>
      </c>
      <c r="P420" s="117" t="s">
        <v>112</v>
      </c>
      <c r="Q420" s="163">
        <f t="shared" si="91"/>
        <v>0.12465000000000001</v>
      </c>
      <c r="R420" s="161">
        <v>1</v>
      </c>
      <c r="S420" s="163">
        <f t="shared" si="92"/>
        <v>1.1246499999999999</v>
      </c>
      <c r="T420" s="165" t="s">
        <v>48</v>
      </c>
    </row>
    <row r="421" spans="3:20" ht="20.25" customHeight="1">
      <c r="C421" s="109"/>
      <c r="D421" s="115">
        <f t="shared" si="87"/>
        <v>421</v>
      </c>
      <c r="E421" s="119" t="s">
        <v>415</v>
      </c>
      <c r="F421" s="121">
        <f t="shared" si="90"/>
        <v>420</v>
      </c>
      <c r="G421" s="118" t="s">
        <v>224</v>
      </c>
      <c r="H421" s="118"/>
      <c r="I421" s="121">
        <f t="shared" si="95"/>
        <v>18</v>
      </c>
      <c r="J421" s="121" t="str">
        <f t="shared" si="95"/>
        <v>831 mm</v>
      </c>
      <c r="K421" s="131">
        <v>1</v>
      </c>
      <c r="L421" s="131" t="s">
        <v>81</v>
      </c>
      <c r="M421" s="141">
        <f t="shared" si="94"/>
        <v>0.83100000000000007</v>
      </c>
      <c r="N421" s="117" t="s">
        <v>139</v>
      </c>
      <c r="O421" s="175">
        <f>VLOOKUP(I421,BM!$A$2:$X$104,5,FALSE)</f>
        <v>0.5</v>
      </c>
      <c r="P421" s="117" t="s">
        <v>112</v>
      </c>
      <c r="Q421" s="163">
        <f t="shared" si="91"/>
        <v>0.41550000000000004</v>
      </c>
      <c r="R421" s="161">
        <v>1</v>
      </c>
      <c r="S421" s="163">
        <f t="shared" si="92"/>
        <v>1.4155</v>
      </c>
      <c r="T421" s="165" t="s">
        <v>48</v>
      </c>
    </row>
    <row r="422" spans="3:20" ht="20.25" customHeight="1">
      <c r="C422" s="109"/>
      <c r="D422" s="115">
        <f t="shared" si="87"/>
        <v>422</v>
      </c>
      <c r="E422" s="119" t="s">
        <v>416</v>
      </c>
      <c r="F422" s="121">
        <f t="shared" si="90"/>
        <v>421</v>
      </c>
      <c r="G422" s="118" t="s">
        <v>61</v>
      </c>
      <c r="H422" s="118"/>
      <c r="I422" s="121">
        <f t="shared" si="95"/>
        <v>18</v>
      </c>
      <c r="J422" s="121" t="str">
        <f t="shared" si="95"/>
        <v>831 mm</v>
      </c>
      <c r="K422" s="131">
        <v>1</v>
      </c>
      <c r="L422" s="131" t="s">
        <v>81</v>
      </c>
      <c r="M422" s="141">
        <f t="shared" si="94"/>
        <v>0.83100000000000007</v>
      </c>
      <c r="N422" s="117" t="s">
        <v>139</v>
      </c>
      <c r="O422" s="175">
        <f>VLOOKUP(I422,BM!$A$2:$X$104,6,FALSE)</f>
        <v>1</v>
      </c>
      <c r="P422" s="117" t="s">
        <v>112</v>
      </c>
      <c r="Q422" s="163">
        <f t="shared" si="91"/>
        <v>0.83100000000000007</v>
      </c>
      <c r="R422" s="161">
        <v>1</v>
      </c>
      <c r="S422" s="163">
        <f t="shared" si="92"/>
        <v>1.831</v>
      </c>
      <c r="T422" s="165" t="s">
        <v>48</v>
      </c>
    </row>
    <row r="423" spans="3:20" ht="20.25" customHeight="1">
      <c r="C423" s="109">
        <f>D423</f>
        <v>423</v>
      </c>
      <c r="D423" s="115">
        <f t="shared" si="87"/>
        <v>423</v>
      </c>
      <c r="E423" s="116" t="s">
        <v>767</v>
      </c>
      <c r="F423" s="121">
        <f>D416</f>
        <v>416</v>
      </c>
      <c r="G423" s="118"/>
      <c r="H423" s="118"/>
      <c r="I423" s="117"/>
      <c r="J423" s="117"/>
      <c r="K423" s="131"/>
      <c r="L423" s="131"/>
      <c r="M423" s="132"/>
      <c r="N423" s="117"/>
      <c r="O423" s="133"/>
      <c r="P423" s="117"/>
      <c r="Q423" s="163"/>
      <c r="R423" s="161"/>
      <c r="S423" s="163"/>
      <c r="T423" s="162"/>
    </row>
    <row r="424" spans="3:20" ht="20.25" customHeight="1">
      <c r="C424" s="109"/>
      <c r="D424" s="115">
        <f t="shared" si="87"/>
        <v>424</v>
      </c>
      <c r="E424" s="119" t="s">
        <v>418</v>
      </c>
      <c r="F424" s="121">
        <f t="shared" si="90"/>
        <v>423</v>
      </c>
      <c r="G424" s="118" t="s">
        <v>286</v>
      </c>
      <c r="H424" s="118"/>
      <c r="I424" s="121">
        <f>I422</f>
        <v>18</v>
      </c>
      <c r="J424" s="121" t="str">
        <f>J422</f>
        <v>831 mm</v>
      </c>
      <c r="K424" s="131">
        <v>1</v>
      </c>
      <c r="L424" s="131" t="s">
        <v>81</v>
      </c>
      <c r="M424" s="132">
        <v>1</v>
      </c>
      <c r="N424" s="117" t="s">
        <v>139</v>
      </c>
      <c r="O424" s="133">
        <v>3</v>
      </c>
      <c r="P424" s="117" t="s">
        <v>112</v>
      </c>
      <c r="Q424" s="163">
        <f t="shared" si="91"/>
        <v>3</v>
      </c>
      <c r="R424" s="161">
        <v>1</v>
      </c>
      <c r="S424" s="163">
        <f t="shared" si="92"/>
        <v>4</v>
      </c>
      <c r="T424" s="165" t="s">
        <v>48</v>
      </c>
    </row>
    <row r="425" spans="3:20" ht="20.25" customHeight="1">
      <c r="C425" s="109"/>
      <c r="D425" s="115">
        <f t="shared" si="87"/>
        <v>425</v>
      </c>
      <c r="E425" s="119" t="s">
        <v>419</v>
      </c>
      <c r="F425" s="121">
        <f t="shared" si="90"/>
        <v>424</v>
      </c>
      <c r="G425" s="118" t="s">
        <v>420</v>
      </c>
      <c r="H425" s="118"/>
      <c r="I425" s="121">
        <f t="shared" ref="I425:J427" si="96">I424</f>
        <v>18</v>
      </c>
      <c r="J425" s="121" t="str">
        <f t="shared" si="96"/>
        <v>831 mm</v>
      </c>
      <c r="K425" s="131">
        <v>1</v>
      </c>
      <c r="L425" s="131" t="s">
        <v>81</v>
      </c>
      <c r="M425" s="141">
        <f>LEFT(J425,SEARCH(" ",J425,1)-1)*K425*0.001*2</f>
        <v>1.6620000000000001</v>
      </c>
      <c r="N425" s="117" t="s">
        <v>139</v>
      </c>
      <c r="O425" s="175">
        <f>VLOOKUP(I425,BM!$A$2:$X$104,8,FALSE)</f>
        <v>0.3</v>
      </c>
      <c r="P425" s="117" t="s">
        <v>112</v>
      </c>
      <c r="Q425" s="163">
        <f t="shared" si="91"/>
        <v>0.49860000000000004</v>
      </c>
      <c r="R425" s="161">
        <v>1</v>
      </c>
      <c r="S425" s="163">
        <f t="shared" si="92"/>
        <v>1.4986000000000002</v>
      </c>
      <c r="T425" s="165" t="s">
        <v>48</v>
      </c>
    </row>
    <row r="426" spans="3:20" ht="20.25" customHeight="1">
      <c r="C426" s="109"/>
      <c r="D426" s="115">
        <f t="shared" si="87"/>
        <v>426</v>
      </c>
      <c r="E426" s="119" t="s">
        <v>421</v>
      </c>
      <c r="F426" s="121">
        <f t="shared" si="90"/>
        <v>425</v>
      </c>
      <c r="G426" s="118" t="s">
        <v>348</v>
      </c>
      <c r="H426" s="118"/>
      <c r="I426" s="121">
        <f t="shared" si="96"/>
        <v>18</v>
      </c>
      <c r="J426" s="121" t="str">
        <f t="shared" si="96"/>
        <v>831 mm</v>
      </c>
      <c r="K426" s="131">
        <v>1</v>
      </c>
      <c r="L426" s="131" t="s">
        <v>81</v>
      </c>
      <c r="M426" s="141">
        <f>LEFT(J426,SEARCH(" ",J426,1)-1)*K426*0.001*2</f>
        <v>1.6620000000000001</v>
      </c>
      <c r="N426" s="117" t="s">
        <v>139</v>
      </c>
      <c r="O426" s="175">
        <f>VLOOKUP(I426,BM!$A$2:$X$104,9,FALSE)</f>
        <v>1</v>
      </c>
      <c r="P426" s="117" t="s">
        <v>112</v>
      </c>
      <c r="Q426" s="163">
        <f t="shared" si="91"/>
        <v>1.6620000000000001</v>
      </c>
      <c r="R426" s="161">
        <v>1</v>
      </c>
      <c r="S426" s="163">
        <f t="shared" si="92"/>
        <v>2.6619999999999999</v>
      </c>
      <c r="T426" s="165" t="s">
        <v>48</v>
      </c>
    </row>
    <row r="427" spans="3:20" ht="20.25" customHeight="1">
      <c r="C427" s="109"/>
      <c r="D427" s="115">
        <f t="shared" si="87"/>
        <v>427</v>
      </c>
      <c r="E427" s="119" t="s">
        <v>422</v>
      </c>
      <c r="F427" s="121">
        <f t="shared" si="90"/>
        <v>426</v>
      </c>
      <c r="G427" s="118" t="s">
        <v>286</v>
      </c>
      <c r="H427" s="118"/>
      <c r="I427" s="121">
        <f t="shared" si="96"/>
        <v>18</v>
      </c>
      <c r="J427" s="121" t="str">
        <f t="shared" si="96"/>
        <v>831 mm</v>
      </c>
      <c r="K427" s="131">
        <v>1</v>
      </c>
      <c r="L427" s="131" t="s">
        <v>81</v>
      </c>
      <c r="M427" s="141">
        <v>1</v>
      </c>
      <c r="N427" s="145" t="s">
        <v>39</v>
      </c>
      <c r="O427" s="133">
        <v>3</v>
      </c>
      <c r="P427" s="117" t="s">
        <v>112</v>
      </c>
      <c r="Q427" s="163">
        <f t="shared" si="91"/>
        <v>3</v>
      </c>
      <c r="R427" s="161">
        <v>1</v>
      </c>
      <c r="S427" s="163">
        <f t="shared" si="92"/>
        <v>4</v>
      </c>
      <c r="T427" s="165" t="s">
        <v>48</v>
      </c>
    </row>
    <row r="428" spans="3:20" ht="20.25" customHeight="1">
      <c r="C428" s="109">
        <f>D428</f>
        <v>428</v>
      </c>
      <c r="D428" s="115">
        <f t="shared" si="87"/>
        <v>428</v>
      </c>
      <c r="E428" s="116" t="s">
        <v>423</v>
      </c>
      <c r="F428" s="121">
        <f>D423</f>
        <v>423</v>
      </c>
      <c r="G428" s="118"/>
      <c r="H428" s="118"/>
      <c r="I428" s="117"/>
      <c r="J428" s="117"/>
      <c r="K428" s="131"/>
      <c r="L428" s="131"/>
      <c r="M428" s="132"/>
      <c r="N428" s="117"/>
      <c r="O428" s="133"/>
      <c r="P428" s="117"/>
      <c r="Q428" s="163"/>
      <c r="R428" s="161"/>
      <c r="S428" s="163"/>
      <c r="T428" s="162"/>
    </row>
    <row r="429" spans="3:20" ht="20.25" customHeight="1">
      <c r="C429" s="109"/>
      <c r="D429" s="115">
        <f t="shared" si="87"/>
        <v>429</v>
      </c>
      <c r="E429" s="119" t="s">
        <v>424</v>
      </c>
      <c r="F429" s="121">
        <f t="shared" si="90"/>
        <v>428</v>
      </c>
      <c r="G429" s="118" t="s">
        <v>348</v>
      </c>
      <c r="H429" s="118"/>
      <c r="I429" s="117">
        <v>18</v>
      </c>
      <c r="J429" s="121" t="str">
        <f>J427</f>
        <v>831 mm</v>
      </c>
      <c r="K429" s="131">
        <v>1</v>
      </c>
      <c r="L429" s="131" t="s">
        <v>81</v>
      </c>
      <c r="M429" s="141">
        <f>LEFT(J429,SEARCH(" ",J429,1)-1)*K429*0.001*2</f>
        <v>1.6620000000000001</v>
      </c>
      <c r="N429" s="117" t="s">
        <v>139</v>
      </c>
      <c r="O429" s="175">
        <f>VLOOKUP(I429,BM!$A$2:$X$104,9,FALSE)</f>
        <v>1</v>
      </c>
      <c r="P429" s="117" t="s">
        <v>112</v>
      </c>
      <c r="Q429" s="163">
        <f t="shared" si="91"/>
        <v>1.6620000000000001</v>
      </c>
      <c r="R429" s="161">
        <v>1</v>
      </c>
      <c r="S429" s="163">
        <f t="shared" si="92"/>
        <v>2.6619999999999999</v>
      </c>
      <c r="T429" s="165" t="s">
        <v>48</v>
      </c>
    </row>
    <row r="430" spans="3:20" ht="20.25" customHeight="1">
      <c r="C430" s="109"/>
      <c r="D430" s="115">
        <f t="shared" si="87"/>
        <v>430</v>
      </c>
      <c r="E430" s="119" t="s">
        <v>425</v>
      </c>
      <c r="F430" s="121">
        <f t="shared" si="90"/>
        <v>429</v>
      </c>
      <c r="G430" s="118" t="s">
        <v>111</v>
      </c>
      <c r="H430" s="118"/>
      <c r="I430" s="117">
        <v>18</v>
      </c>
      <c r="J430" s="121" t="str">
        <f>J429</f>
        <v>831 mm</v>
      </c>
      <c r="K430" s="131">
        <v>1</v>
      </c>
      <c r="L430" s="131" t="s">
        <v>81</v>
      </c>
      <c r="M430" s="141">
        <f>LEFT(J430,SEARCH(" ",J430,1)-1)*K430*0.001</f>
        <v>0.83100000000000007</v>
      </c>
      <c r="N430" s="117" t="s">
        <v>139</v>
      </c>
      <c r="O430" s="175">
        <f>VLOOKUP(I430,BM!$A$2:$X$104,10,FALSE)</f>
        <v>1</v>
      </c>
      <c r="P430" s="117" t="s">
        <v>112</v>
      </c>
      <c r="Q430" s="163">
        <f t="shared" si="91"/>
        <v>0.83100000000000007</v>
      </c>
      <c r="R430" s="161">
        <v>1</v>
      </c>
      <c r="S430" s="163">
        <f t="shared" si="92"/>
        <v>1.831</v>
      </c>
      <c r="T430" s="165" t="s">
        <v>48</v>
      </c>
    </row>
    <row r="431" spans="3:20" ht="20.25" customHeight="1">
      <c r="C431" s="109">
        <f>D431</f>
        <v>431</v>
      </c>
      <c r="D431" s="115">
        <f t="shared" si="87"/>
        <v>431</v>
      </c>
      <c r="E431" s="116" t="s">
        <v>426</v>
      </c>
      <c r="F431" s="121">
        <f>D428</f>
        <v>428</v>
      </c>
      <c r="G431" s="118"/>
      <c r="H431" s="118"/>
      <c r="I431" s="117"/>
      <c r="J431" s="117"/>
      <c r="K431" s="131"/>
      <c r="L431" s="131"/>
      <c r="M431" s="132"/>
      <c r="N431" s="117"/>
      <c r="O431" s="133"/>
      <c r="P431" s="117"/>
      <c r="Q431" s="163"/>
      <c r="R431" s="161"/>
      <c r="S431" s="163"/>
      <c r="T431" s="162"/>
    </row>
    <row r="432" spans="3:20" ht="20.25" customHeight="1">
      <c r="C432" s="109"/>
      <c r="D432" s="115">
        <f t="shared" si="87"/>
        <v>432</v>
      </c>
      <c r="E432" s="119" t="s">
        <v>427</v>
      </c>
      <c r="F432" s="121">
        <f t="shared" si="90"/>
        <v>431</v>
      </c>
      <c r="G432" s="118" t="s">
        <v>201</v>
      </c>
      <c r="H432" s="118"/>
      <c r="I432" s="117">
        <v>18</v>
      </c>
      <c r="J432" s="121" t="str">
        <f>J430</f>
        <v>831 mm</v>
      </c>
      <c r="K432" s="131">
        <v>1</v>
      </c>
      <c r="L432" s="131" t="s">
        <v>81</v>
      </c>
      <c r="M432" s="132">
        <v>1</v>
      </c>
      <c r="N432" s="117" t="s">
        <v>139</v>
      </c>
      <c r="O432" s="133">
        <v>1</v>
      </c>
      <c r="P432" s="117" t="s">
        <v>112</v>
      </c>
      <c r="Q432" s="163">
        <f t="shared" si="91"/>
        <v>1</v>
      </c>
      <c r="R432" s="161">
        <v>1</v>
      </c>
      <c r="S432" s="163">
        <f t="shared" si="92"/>
        <v>2</v>
      </c>
      <c r="T432" s="165" t="s">
        <v>48</v>
      </c>
    </row>
    <row r="433" spans="3:20" ht="20.25" customHeight="1">
      <c r="C433" s="109"/>
      <c r="D433" s="115">
        <f t="shared" si="87"/>
        <v>433</v>
      </c>
      <c r="E433" s="119" t="s">
        <v>428</v>
      </c>
      <c r="F433" s="121">
        <f t="shared" si="90"/>
        <v>432</v>
      </c>
      <c r="G433" s="118" t="s">
        <v>115</v>
      </c>
      <c r="H433" s="118"/>
      <c r="I433" s="117">
        <v>12</v>
      </c>
      <c r="J433" s="121" t="str">
        <f t="shared" ref="J433:J437" si="97">J432</f>
        <v>831 mm</v>
      </c>
      <c r="K433" s="131">
        <v>1</v>
      </c>
      <c r="L433" s="131" t="s">
        <v>81</v>
      </c>
      <c r="M433" s="141">
        <f t="shared" ref="M433:M436" si="98">LEFT(J433,SEARCH(" ",J433,1)-1)*K433*0.001</f>
        <v>0.83100000000000007</v>
      </c>
      <c r="N433" s="117" t="s">
        <v>139</v>
      </c>
      <c r="O433" s="175">
        <f>VLOOKUP(I433,BM!$A$2:$X$104,12,FALSE)</f>
        <v>2.5</v>
      </c>
      <c r="P433" s="117" t="s">
        <v>112</v>
      </c>
      <c r="Q433" s="163">
        <f t="shared" si="91"/>
        <v>2.0775000000000001</v>
      </c>
      <c r="R433" s="161">
        <v>1</v>
      </c>
      <c r="S433" s="163">
        <f t="shared" si="92"/>
        <v>3.0775000000000001</v>
      </c>
      <c r="T433" s="162" t="str">
        <f>T432</f>
        <v>Hrs</v>
      </c>
    </row>
    <row r="434" spans="3:20" ht="20.25" customHeight="1">
      <c r="C434" s="109"/>
      <c r="D434" s="115">
        <f t="shared" si="87"/>
        <v>434</v>
      </c>
      <c r="E434" s="119" t="s">
        <v>429</v>
      </c>
      <c r="F434" s="121">
        <f t="shared" si="90"/>
        <v>433</v>
      </c>
      <c r="G434" s="118" t="s">
        <v>121</v>
      </c>
      <c r="H434" s="118"/>
      <c r="I434" s="117">
        <v>18</v>
      </c>
      <c r="J434" s="121" t="str">
        <f t="shared" si="97"/>
        <v>831 mm</v>
      </c>
      <c r="K434" s="131">
        <v>1</v>
      </c>
      <c r="L434" s="131" t="s">
        <v>81</v>
      </c>
      <c r="M434" s="141">
        <f t="shared" si="98"/>
        <v>0.83100000000000007</v>
      </c>
      <c r="N434" s="117" t="s">
        <v>139</v>
      </c>
      <c r="O434" s="175">
        <f>VLOOKUP(I434,BM!$A$2:$X$104,18,FALSE)</f>
        <v>1</v>
      </c>
      <c r="P434" s="117" t="s">
        <v>112</v>
      </c>
      <c r="Q434" s="163">
        <f t="shared" si="91"/>
        <v>0.83100000000000007</v>
      </c>
      <c r="R434" s="161">
        <v>1</v>
      </c>
      <c r="S434" s="163">
        <f t="shared" si="92"/>
        <v>1.831</v>
      </c>
      <c r="T434" s="162" t="str">
        <f>T433</f>
        <v>Hrs</v>
      </c>
    </row>
    <row r="435" spans="3:20" ht="20.25" customHeight="1">
      <c r="C435" s="109"/>
      <c r="D435" s="115">
        <f t="shared" si="87"/>
        <v>435</v>
      </c>
      <c r="E435" s="119" t="s">
        <v>430</v>
      </c>
      <c r="F435" s="121">
        <f t="shared" si="90"/>
        <v>434</v>
      </c>
      <c r="G435" s="118" t="s">
        <v>115</v>
      </c>
      <c r="H435" s="118"/>
      <c r="I435" s="117">
        <v>6</v>
      </c>
      <c r="J435" s="121" t="str">
        <f t="shared" si="97"/>
        <v>831 mm</v>
      </c>
      <c r="K435" s="131">
        <v>1</v>
      </c>
      <c r="L435" s="131" t="s">
        <v>81</v>
      </c>
      <c r="M435" s="141">
        <f t="shared" si="98"/>
        <v>0.83100000000000007</v>
      </c>
      <c r="N435" s="117" t="s">
        <v>139</v>
      </c>
      <c r="O435" s="175">
        <f>VLOOKUP(I435,BM!$A$2:$X$104,12,FALSE)</f>
        <v>0.9</v>
      </c>
      <c r="P435" s="117" t="s">
        <v>112</v>
      </c>
      <c r="Q435" s="163">
        <f t="shared" si="91"/>
        <v>0.74790000000000012</v>
      </c>
      <c r="R435" s="161">
        <v>1</v>
      </c>
      <c r="S435" s="163">
        <f t="shared" si="92"/>
        <v>1.7479</v>
      </c>
      <c r="T435" s="162" t="str">
        <f>T434</f>
        <v>Hrs</v>
      </c>
    </row>
    <row r="436" spans="3:20" ht="20.25" customHeight="1">
      <c r="C436" s="109"/>
      <c r="D436" s="115">
        <f t="shared" si="87"/>
        <v>436</v>
      </c>
      <c r="E436" s="119" t="s">
        <v>431</v>
      </c>
      <c r="F436" s="121">
        <f t="shared" si="90"/>
        <v>435</v>
      </c>
      <c r="G436" s="118" t="s">
        <v>61</v>
      </c>
      <c r="H436" s="118"/>
      <c r="I436" s="117">
        <v>6</v>
      </c>
      <c r="J436" s="121" t="str">
        <f t="shared" si="97"/>
        <v>831 mm</v>
      </c>
      <c r="K436" s="131">
        <v>1</v>
      </c>
      <c r="L436" s="131" t="s">
        <v>81</v>
      </c>
      <c r="M436" s="141">
        <f t="shared" si="98"/>
        <v>0.83100000000000007</v>
      </c>
      <c r="N436" s="117" t="s">
        <v>139</v>
      </c>
      <c r="O436" s="175">
        <f>VLOOKUP(I436,BM!$A$2:$X$104,20,FALSE)</f>
        <v>0.5</v>
      </c>
      <c r="P436" s="117" t="s">
        <v>112</v>
      </c>
      <c r="Q436" s="163">
        <f t="shared" si="91"/>
        <v>0.41550000000000004</v>
      </c>
      <c r="R436" s="161">
        <v>1</v>
      </c>
      <c r="S436" s="163">
        <f t="shared" si="92"/>
        <v>1.4155</v>
      </c>
      <c r="T436" s="162" t="str">
        <f>T435</f>
        <v>Hrs</v>
      </c>
    </row>
    <row r="437" spans="3:20" ht="20.25" customHeight="1">
      <c r="C437" s="109"/>
      <c r="D437" s="115">
        <f t="shared" si="87"/>
        <v>437</v>
      </c>
      <c r="E437" s="119" t="s">
        <v>432</v>
      </c>
      <c r="F437" s="121">
        <f t="shared" si="90"/>
        <v>436</v>
      </c>
      <c r="G437" s="118" t="s">
        <v>286</v>
      </c>
      <c r="H437" s="118"/>
      <c r="I437" s="117">
        <v>18</v>
      </c>
      <c r="J437" s="121" t="str">
        <f t="shared" si="97"/>
        <v>831 mm</v>
      </c>
      <c r="K437" s="131">
        <v>1</v>
      </c>
      <c r="L437" s="131" t="s">
        <v>81</v>
      </c>
      <c r="M437" s="132">
        <v>1</v>
      </c>
      <c r="N437" s="145" t="s">
        <v>81</v>
      </c>
      <c r="O437" s="133">
        <v>3</v>
      </c>
      <c r="P437" s="117" t="s">
        <v>112</v>
      </c>
      <c r="Q437" s="163">
        <f t="shared" si="91"/>
        <v>3</v>
      </c>
      <c r="R437" s="161">
        <v>1</v>
      </c>
      <c r="S437" s="163">
        <f t="shared" si="92"/>
        <v>4</v>
      </c>
      <c r="T437" s="162" t="str">
        <f>T436</f>
        <v>Hrs</v>
      </c>
    </row>
    <row r="438" spans="3:20" ht="20.25" customHeight="1">
      <c r="C438" s="109">
        <f>D438</f>
        <v>438</v>
      </c>
      <c r="D438" s="115">
        <f t="shared" si="87"/>
        <v>438</v>
      </c>
      <c r="E438" s="116" t="s">
        <v>433</v>
      </c>
      <c r="F438" s="121">
        <f>D431</f>
        <v>431</v>
      </c>
      <c r="G438" s="118"/>
      <c r="H438" s="118"/>
      <c r="I438" s="117"/>
      <c r="J438" s="117"/>
      <c r="K438" s="131"/>
      <c r="L438" s="131"/>
      <c r="M438" s="132"/>
      <c r="N438" s="117"/>
      <c r="O438" s="133"/>
      <c r="P438" s="117"/>
      <c r="Q438" s="163"/>
      <c r="R438" s="161"/>
      <c r="S438" s="163"/>
      <c r="T438" s="162"/>
    </row>
    <row r="439" spans="3:20" ht="20.25" customHeight="1">
      <c r="C439" s="109"/>
      <c r="D439" s="115">
        <f t="shared" si="87"/>
        <v>439</v>
      </c>
      <c r="E439" s="119" t="s">
        <v>434</v>
      </c>
      <c r="F439" s="121">
        <f t="shared" si="90"/>
        <v>438</v>
      </c>
      <c r="G439" s="118" t="s">
        <v>312</v>
      </c>
      <c r="H439" s="118"/>
      <c r="I439" s="117">
        <v>18</v>
      </c>
      <c r="J439" s="121" t="str">
        <f>J437</f>
        <v>831 mm</v>
      </c>
      <c r="K439" s="131">
        <v>1</v>
      </c>
      <c r="L439" s="154" t="s">
        <v>39</v>
      </c>
      <c r="M439" s="132">
        <v>1</v>
      </c>
      <c r="N439" s="145" t="s">
        <v>39</v>
      </c>
      <c r="O439" s="133">
        <v>1</v>
      </c>
      <c r="P439" s="117" t="s">
        <v>435</v>
      </c>
      <c r="Q439" s="163">
        <f t="shared" si="91"/>
        <v>1</v>
      </c>
      <c r="R439" s="161"/>
      <c r="S439" s="163">
        <f t="shared" si="92"/>
        <v>1</v>
      </c>
      <c r="T439" s="165" t="s">
        <v>41</v>
      </c>
    </row>
    <row r="440" spans="3:20" ht="20.25" customHeight="1">
      <c r="C440" s="109">
        <f>D440</f>
        <v>440</v>
      </c>
      <c r="D440" s="115">
        <f t="shared" si="87"/>
        <v>440</v>
      </c>
      <c r="E440" s="116" t="s">
        <v>436</v>
      </c>
      <c r="F440" s="121">
        <f>D438</f>
        <v>438</v>
      </c>
      <c r="G440" s="118"/>
      <c r="H440" s="118"/>
      <c r="I440" s="117"/>
      <c r="J440" s="117"/>
      <c r="K440" s="131"/>
      <c r="L440" s="131"/>
      <c r="M440" s="132"/>
      <c r="N440" s="117"/>
      <c r="O440" s="133"/>
      <c r="P440" s="117"/>
      <c r="Q440" s="163"/>
      <c r="R440" s="161"/>
      <c r="S440" s="163"/>
      <c r="T440" s="162"/>
    </row>
    <row r="441" spans="3:20" ht="20.25" customHeight="1">
      <c r="C441" s="109"/>
      <c r="D441" s="115">
        <f t="shared" si="87"/>
        <v>441</v>
      </c>
      <c r="E441" s="119" t="s">
        <v>437</v>
      </c>
      <c r="F441" s="121">
        <f t="shared" si="90"/>
        <v>440</v>
      </c>
      <c r="G441" s="118" t="s">
        <v>348</v>
      </c>
      <c r="H441" s="118"/>
      <c r="I441" s="121">
        <f>I439</f>
        <v>18</v>
      </c>
      <c r="J441" s="125" t="s">
        <v>317</v>
      </c>
      <c r="K441" s="131">
        <v>1</v>
      </c>
      <c r="L441" s="131" t="s">
        <v>81</v>
      </c>
      <c r="M441" s="141">
        <f>LEFT(J441,SEARCH(" ",J441,1)-1)*K441*3.142*0.001*2</f>
        <v>9.8030399999999993</v>
      </c>
      <c r="N441" s="117" t="s">
        <v>139</v>
      </c>
      <c r="O441" s="175">
        <f>VLOOKUP(I441,BM!$A$2:$X$104,13,FALSE)</f>
        <v>0.45</v>
      </c>
      <c r="P441" s="117" t="s">
        <v>112</v>
      </c>
      <c r="Q441" s="163">
        <f t="shared" si="91"/>
        <v>4.4113679999999995</v>
      </c>
      <c r="R441" s="161">
        <v>1</v>
      </c>
      <c r="S441" s="163">
        <f t="shared" si="92"/>
        <v>5.4113679999999995</v>
      </c>
      <c r="T441" s="165" t="s">
        <v>162</v>
      </c>
    </row>
    <row r="442" spans="3:20" ht="20.25" customHeight="1">
      <c r="C442" s="109"/>
      <c r="D442" s="115">
        <f t="shared" si="87"/>
        <v>442</v>
      </c>
      <c r="E442" s="119" t="s">
        <v>438</v>
      </c>
      <c r="F442" s="121">
        <f t="shared" si="90"/>
        <v>441</v>
      </c>
      <c r="G442" s="118" t="s">
        <v>111</v>
      </c>
      <c r="H442" s="118"/>
      <c r="I442" s="117">
        <v>18</v>
      </c>
      <c r="J442" s="117" t="str">
        <f>J441</f>
        <v>1560 mm id</v>
      </c>
      <c r="K442" s="131">
        <v>1</v>
      </c>
      <c r="L442" s="131" t="s">
        <v>81</v>
      </c>
      <c r="M442" s="141">
        <f>LEFT(J442,SEARCH(" ",J442,1)-1)*K442*3.142*0.001</f>
        <v>4.9015199999999997</v>
      </c>
      <c r="N442" s="117" t="s">
        <v>139</v>
      </c>
      <c r="O442" s="175">
        <f>VLOOKUP(I442,BM!$A$2:$X$104,16,FALSE)</f>
        <v>1</v>
      </c>
      <c r="P442" s="117" t="s">
        <v>112</v>
      </c>
      <c r="Q442" s="163">
        <f t="shared" si="91"/>
        <v>4.9015199999999997</v>
      </c>
      <c r="R442" s="161">
        <v>1</v>
      </c>
      <c r="S442" s="163">
        <f t="shared" si="92"/>
        <v>5.9015199999999997</v>
      </c>
      <c r="T442" s="165" t="s">
        <v>162</v>
      </c>
    </row>
    <row r="443" spans="3:20" ht="20.25" customHeight="1">
      <c r="C443" s="109"/>
      <c r="D443" s="115">
        <f t="shared" si="87"/>
        <v>443</v>
      </c>
      <c r="E443" s="119" t="s">
        <v>439</v>
      </c>
      <c r="F443" s="121">
        <f t="shared" si="90"/>
        <v>442</v>
      </c>
      <c r="G443" s="118" t="s">
        <v>44</v>
      </c>
      <c r="H443" s="118"/>
      <c r="I443" s="117">
        <v>18</v>
      </c>
      <c r="J443" s="117" t="str">
        <f>J442</f>
        <v>1560 mm id</v>
      </c>
      <c r="K443" s="131">
        <v>1</v>
      </c>
      <c r="L443" s="131" t="s">
        <v>81</v>
      </c>
      <c r="M443" s="132">
        <v>1</v>
      </c>
      <c r="N443" s="117" t="s">
        <v>139</v>
      </c>
      <c r="O443" s="133">
        <v>4</v>
      </c>
      <c r="P443" s="117" t="s">
        <v>112</v>
      </c>
      <c r="Q443" s="163">
        <f t="shared" si="91"/>
        <v>4</v>
      </c>
      <c r="R443" s="161">
        <v>1</v>
      </c>
      <c r="S443" s="163">
        <f t="shared" si="92"/>
        <v>5</v>
      </c>
      <c r="T443" s="165" t="s">
        <v>162</v>
      </c>
    </row>
    <row r="444" spans="3:20" ht="20.25" customHeight="1">
      <c r="C444" s="109">
        <f>D444</f>
        <v>444</v>
      </c>
      <c r="D444" s="115">
        <f t="shared" si="87"/>
        <v>444</v>
      </c>
      <c r="E444" s="116" t="s">
        <v>440</v>
      </c>
      <c r="F444" s="121">
        <f>D440</f>
        <v>440</v>
      </c>
      <c r="G444" s="118"/>
      <c r="H444" s="118"/>
      <c r="I444" s="117"/>
      <c r="J444" s="117"/>
      <c r="K444" s="131"/>
      <c r="L444" s="131"/>
      <c r="M444" s="132"/>
      <c r="N444" s="117"/>
      <c r="O444" s="133"/>
      <c r="P444" s="117"/>
      <c r="Q444" s="163"/>
      <c r="R444" s="161"/>
      <c r="S444" s="163"/>
      <c r="T444" s="162"/>
    </row>
    <row r="445" spans="3:20" ht="20.25" customHeight="1">
      <c r="C445" s="109"/>
      <c r="D445" s="115">
        <f t="shared" si="87"/>
        <v>445</v>
      </c>
      <c r="E445" s="119" t="s">
        <v>441</v>
      </c>
      <c r="F445" s="121">
        <f t="shared" si="90"/>
        <v>444</v>
      </c>
      <c r="G445" s="118" t="s">
        <v>201</v>
      </c>
      <c r="H445" s="118"/>
      <c r="I445" s="117">
        <v>18</v>
      </c>
      <c r="J445" s="117" t="str">
        <f>J443</f>
        <v>1560 mm id</v>
      </c>
      <c r="K445" s="131">
        <v>1</v>
      </c>
      <c r="L445" s="131" t="s">
        <v>81</v>
      </c>
      <c r="M445" s="132">
        <v>1</v>
      </c>
      <c r="N445" s="145" t="s">
        <v>39</v>
      </c>
      <c r="O445" s="133">
        <v>1</v>
      </c>
      <c r="P445" s="117" t="s">
        <v>112</v>
      </c>
      <c r="Q445" s="163">
        <f t="shared" si="91"/>
        <v>1</v>
      </c>
      <c r="R445" s="161">
        <v>1</v>
      </c>
      <c r="S445" s="163">
        <f t="shared" si="92"/>
        <v>2</v>
      </c>
      <c r="T445" s="165" t="s">
        <v>162</v>
      </c>
    </row>
    <row r="446" spans="3:20" ht="20.25" customHeight="1">
      <c r="C446" s="109"/>
      <c r="D446" s="115">
        <f t="shared" si="87"/>
        <v>446</v>
      </c>
      <c r="E446" s="119" t="s">
        <v>442</v>
      </c>
      <c r="F446" s="121">
        <f t="shared" si="90"/>
        <v>445</v>
      </c>
      <c r="G446" s="118" t="s">
        <v>115</v>
      </c>
      <c r="H446" s="118"/>
      <c r="I446" s="117">
        <v>12</v>
      </c>
      <c r="J446" s="117" t="str">
        <f>J445</f>
        <v>1560 mm id</v>
      </c>
      <c r="K446" s="131">
        <v>1</v>
      </c>
      <c r="L446" s="131" t="s">
        <v>81</v>
      </c>
      <c r="M446" s="141">
        <f t="shared" ref="M446:M454" si="99">LEFT(J446,SEARCH(" ",J446,1)-1)*K446*3.142*0.001</f>
        <v>4.9015199999999997</v>
      </c>
      <c r="N446" s="117" t="s">
        <v>249</v>
      </c>
      <c r="O446" s="175">
        <f>VLOOKUP(I446,BM!$A$2:$X$104,17,FALSE)</f>
        <v>2.5</v>
      </c>
      <c r="P446" s="117" t="s">
        <v>112</v>
      </c>
      <c r="Q446" s="163">
        <f t="shared" si="91"/>
        <v>12.253799999999998</v>
      </c>
      <c r="R446" s="161">
        <v>1</v>
      </c>
      <c r="S446" s="163">
        <f t="shared" si="92"/>
        <v>13.253799999999998</v>
      </c>
      <c r="T446" s="165" t="s">
        <v>112</v>
      </c>
    </row>
    <row r="447" spans="3:20" ht="20.25" customHeight="1">
      <c r="C447" s="109"/>
      <c r="D447" s="115">
        <f t="shared" si="87"/>
        <v>447</v>
      </c>
      <c r="E447" s="119" t="s">
        <v>443</v>
      </c>
      <c r="F447" s="121">
        <f t="shared" si="90"/>
        <v>446</v>
      </c>
      <c r="G447" s="118" t="s">
        <v>61</v>
      </c>
      <c r="H447" s="118"/>
      <c r="I447" s="117">
        <v>18</v>
      </c>
      <c r="J447" s="117" t="str">
        <f>J446</f>
        <v>1560 mm id</v>
      </c>
      <c r="K447" s="131">
        <v>1</v>
      </c>
      <c r="L447" s="131" t="s">
        <v>81</v>
      </c>
      <c r="M447" s="141">
        <f t="shared" si="99"/>
        <v>4.9015199999999997</v>
      </c>
      <c r="N447" s="117" t="s">
        <v>249</v>
      </c>
      <c r="O447" s="175">
        <f>VLOOKUP(I447,BM!$A$2:$X$104,18,FALSE)</f>
        <v>1</v>
      </c>
      <c r="P447" s="117" t="s">
        <v>112</v>
      </c>
      <c r="Q447" s="163">
        <f t="shared" si="91"/>
        <v>4.9015199999999997</v>
      </c>
      <c r="R447" s="161">
        <v>1</v>
      </c>
      <c r="S447" s="163">
        <f t="shared" si="92"/>
        <v>5.9015199999999997</v>
      </c>
      <c r="T447" s="165" t="s">
        <v>112</v>
      </c>
    </row>
    <row r="448" spans="3:20" ht="20.25" customHeight="1">
      <c r="C448" s="109"/>
      <c r="D448" s="115">
        <f t="shared" si="87"/>
        <v>448</v>
      </c>
      <c r="E448" s="119" t="s">
        <v>444</v>
      </c>
      <c r="F448" s="121">
        <f t="shared" si="90"/>
        <v>447</v>
      </c>
      <c r="G448" s="118" t="s">
        <v>115</v>
      </c>
      <c r="H448" s="118"/>
      <c r="I448" s="117">
        <v>8</v>
      </c>
      <c r="J448" s="117" t="str">
        <f>J447</f>
        <v>1560 mm id</v>
      </c>
      <c r="K448" s="131">
        <v>1</v>
      </c>
      <c r="L448" s="131" t="s">
        <v>81</v>
      </c>
      <c r="M448" s="141">
        <f t="shared" si="99"/>
        <v>4.9015199999999997</v>
      </c>
      <c r="N448" s="117" t="s">
        <v>249</v>
      </c>
      <c r="O448" s="175">
        <f>VLOOKUP(I448,BM!$A$2:$X$104,17,FALSE)</f>
        <v>1.36</v>
      </c>
      <c r="P448" s="117" t="s">
        <v>112</v>
      </c>
      <c r="Q448" s="163">
        <f t="shared" si="91"/>
        <v>6.6660671999999996</v>
      </c>
      <c r="R448" s="161">
        <v>1</v>
      </c>
      <c r="S448" s="163">
        <f t="shared" si="92"/>
        <v>7.6660671999999996</v>
      </c>
      <c r="T448" s="165" t="s">
        <v>112</v>
      </c>
    </row>
    <row r="449" spans="3:20" ht="20.25" customHeight="1">
      <c r="C449" s="109"/>
      <c r="D449" s="115">
        <f t="shared" si="87"/>
        <v>449</v>
      </c>
      <c r="E449" s="119" t="s">
        <v>445</v>
      </c>
      <c r="F449" s="121">
        <f t="shared" si="90"/>
        <v>448</v>
      </c>
      <c r="G449" s="118" t="s">
        <v>61</v>
      </c>
      <c r="H449" s="118"/>
      <c r="I449" s="117">
        <v>18</v>
      </c>
      <c r="J449" s="117" t="str">
        <f>J448</f>
        <v>1560 mm id</v>
      </c>
      <c r="K449" s="131">
        <v>1</v>
      </c>
      <c r="L449" s="131" t="s">
        <v>81</v>
      </c>
      <c r="M449" s="141">
        <f t="shared" si="99"/>
        <v>4.9015199999999997</v>
      </c>
      <c r="N449" s="117" t="s">
        <v>249</v>
      </c>
      <c r="O449" s="175">
        <f>VLOOKUP(I449,BM!$A$2:$X$104,20,FALSE)</f>
        <v>0.5</v>
      </c>
      <c r="P449" s="117" t="s">
        <v>112</v>
      </c>
      <c r="Q449" s="163">
        <f t="shared" si="91"/>
        <v>2.4507599999999998</v>
      </c>
      <c r="R449" s="161">
        <v>1</v>
      </c>
      <c r="S449" s="163">
        <f t="shared" si="92"/>
        <v>3.4507599999999998</v>
      </c>
      <c r="T449" s="165" t="s">
        <v>112</v>
      </c>
    </row>
    <row r="450" spans="3:20" ht="20.25" customHeight="1">
      <c r="C450" s="109">
        <f>D450</f>
        <v>450</v>
      </c>
      <c r="D450" s="115">
        <f t="shared" si="87"/>
        <v>450</v>
      </c>
      <c r="E450" s="116" t="s">
        <v>446</v>
      </c>
      <c r="F450" s="121">
        <f>D444</f>
        <v>444</v>
      </c>
      <c r="G450" s="118"/>
      <c r="H450" s="118"/>
      <c r="I450" s="117"/>
      <c r="J450" s="117"/>
      <c r="K450" s="131"/>
      <c r="L450" s="131"/>
      <c r="M450" s="132"/>
      <c r="N450" s="117"/>
      <c r="O450" s="133"/>
      <c r="P450" s="117"/>
      <c r="Q450" s="163"/>
      <c r="R450" s="161"/>
      <c r="S450" s="163"/>
      <c r="T450" s="162"/>
    </row>
    <row r="451" spans="3:20" ht="20.25" customHeight="1">
      <c r="C451" s="109"/>
      <c r="D451" s="115">
        <f t="shared" ref="D451:D514" si="100">D450+1</f>
        <v>451</v>
      </c>
      <c r="E451" s="119" t="s">
        <v>447</v>
      </c>
      <c r="F451" s="121">
        <f t="shared" si="90"/>
        <v>450</v>
      </c>
      <c r="G451" s="118" t="s">
        <v>52</v>
      </c>
      <c r="H451" s="118"/>
      <c r="I451" s="117">
        <f>I445</f>
        <v>18</v>
      </c>
      <c r="J451" s="117" t="str">
        <f>J449</f>
        <v>1560 mm id</v>
      </c>
      <c r="K451" s="131">
        <v>1</v>
      </c>
      <c r="L451" s="131" t="s">
        <v>81</v>
      </c>
      <c r="M451" s="141">
        <f t="shared" si="99"/>
        <v>4.9015199999999997</v>
      </c>
      <c r="N451" s="117" t="s">
        <v>139</v>
      </c>
      <c r="O451" s="175">
        <f>VLOOKUP(I451,BM!$A$2:$X$104,14,FALSE)</f>
        <v>0.5</v>
      </c>
      <c r="P451" s="117" t="s">
        <v>112</v>
      </c>
      <c r="Q451" s="163">
        <f t="shared" si="91"/>
        <v>2.4507599999999998</v>
      </c>
      <c r="R451" s="161">
        <v>1</v>
      </c>
      <c r="S451" s="163">
        <f t="shared" si="92"/>
        <v>3.4507599999999998</v>
      </c>
      <c r="T451" s="165" t="s">
        <v>112</v>
      </c>
    </row>
    <row r="452" spans="3:20" ht="20.25" customHeight="1">
      <c r="C452" s="109"/>
      <c r="D452" s="115">
        <f t="shared" si="100"/>
        <v>452</v>
      </c>
      <c r="E452" s="119" t="s">
        <v>437</v>
      </c>
      <c r="F452" s="121">
        <f t="shared" si="90"/>
        <v>451</v>
      </c>
      <c r="G452" s="118" t="s">
        <v>44</v>
      </c>
      <c r="H452" s="118"/>
      <c r="I452" s="117">
        <f>I446</f>
        <v>12</v>
      </c>
      <c r="J452" s="117" t="str">
        <f>J451</f>
        <v>1560 mm id</v>
      </c>
      <c r="K452" s="131">
        <v>1</v>
      </c>
      <c r="L452" s="131" t="s">
        <v>81</v>
      </c>
      <c r="M452" s="141">
        <f t="shared" si="99"/>
        <v>4.9015199999999997</v>
      </c>
      <c r="N452" s="117" t="s">
        <v>139</v>
      </c>
      <c r="O452" s="175">
        <f>VLOOKUP(I452,BM!$A$2:$X$104,15,FALSE)</f>
        <v>1</v>
      </c>
      <c r="P452" s="117" t="s">
        <v>112</v>
      </c>
      <c r="Q452" s="163">
        <f t="shared" si="91"/>
        <v>4.9015199999999997</v>
      </c>
      <c r="R452" s="161">
        <v>1</v>
      </c>
      <c r="S452" s="163">
        <f t="shared" si="92"/>
        <v>5.9015199999999997</v>
      </c>
      <c r="T452" s="165" t="s">
        <v>112</v>
      </c>
    </row>
    <row r="453" spans="3:20" ht="20.25" customHeight="1">
      <c r="C453" s="109"/>
      <c r="D453" s="115">
        <f t="shared" si="100"/>
        <v>453</v>
      </c>
      <c r="E453" s="119" t="s">
        <v>448</v>
      </c>
      <c r="F453" s="121">
        <f t="shared" si="90"/>
        <v>452</v>
      </c>
      <c r="G453" s="118" t="s">
        <v>111</v>
      </c>
      <c r="H453" s="118"/>
      <c r="I453" s="117">
        <f>I448</f>
        <v>8</v>
      </c>
      <c r="J453" s="117" t="str">
        <f>J452</f>
        <v>1560 mm id</v>
      </c>
      <c r="K453" s="131">
        <v>1</v>
      </c>
      <c r="L453" s="131" t="s">
        <v>81</v>
      </c>
      <c r="M453" s="141">
        <f t="shared" si="99"/>
        <v>4.9015199999999997</v>
      </c>
      <c r="N453" s="117" t="s">
        <v>139</v>
      </c>
      <c r="O453" s="133">
        <v>4</v>
      </c>
      <c r="P453" s="117" t="s">
        <v>112</v>
      </c>
      <c r="Q453" s="163">
        <f t="shared" si="91"/>
        <v>19.606079999999999</v>
      </c>
      <c r="R453" s="161">
        <v>1</v>
      </c>
      <c r="S453" s="163">
        <f t="shared" si="92"/>
        <v>20.606079999999999</v>
      </c>
      <c r="T453" s="165" t="s">
        <v>112</v>
      </c>
    </row>
    <row r="454" spans="3:20" ht="20.25" customHeight="1">
      <c r="C454" s="109"/>
      <c r="D454" s="115">
        <f t="shared" si="100"/>
        <v>454</v>
      </c>
      <c r="E454" s="119" t="s">
        <v>439</v>
      </c>
      <c r="F454" s="121">
        <f t="shared" si="90"/>
        <v>453</v>
      </c>
      <c r="G454" s="118" t="s">
        <v>63</v>
      </c>
      <c r="H454" s="118"/>
      <c r="I454" s="117">
        <v>18</v>
      </c>
      <c r="J454" s="117" t="str">
        <f>J453</f>
        <v>1560 mm id</v>
      </c>
      <c r="K454" s="131">
        <v>1</v>
      </c>
      <c r="L454" s="131" t="s">
        <v>81</v>
      </c>
      <c r="M454" s="141">
        <f t="shared" si="99"/>
        <v>4.9015199999999997</v>
      </c>
      <c r="N454" s="117" t="s">
        <v>139</v>
      </c>
      <c r="O454" s="133">
        <v>0.5</v>
      </c>
      <c r="P454" s="117" t="s">
        <v>112</v>
      </c>
      <c r="Q454" s="163">
        <f t="shared" si="91"/>
        <v>2.4507599999999998</v>
      </c>
      <c r="R454" s="161">
        <v>1</v>
      </c>
      <c r="S454" s="163">
        <f t="shared" si="92"/>
        <v>3.4507599999999998</v>
      </c>
      <c r="T454" s="165" t="s">
        <v>112</v>
      </c>
    </row>
    <row r="455" spans="3:20" ht="20.25" customHeight="1">
      <c r="C455" s="109">
        <f>D455</f>
        <v>455</v>
      </c>
      <c r="D455" s="115">
        <f t="shared" si="100"/>
        <v>455</v>
      </c>
      <c r="E455" s="116" t="s">
        <v>449</v>
      </c>
      <c r="F455" s="121">
        <f>D450</f>
        <v>450</v>
      </c>
      <c r="G455" s="117"/>
      <c r="H455" s="117"/>
      <c r="I455" s="117"/>
      <c r="J455" s="117"/>
      <c r="K455" s="131"/>
      <c r="L455" s="131"/>
      <c r="M455" s="132"/>
      <c r="N455" s="117"/>
      <c r="O455" s="133"/>
      <c r="P455" s="117"/>
      <c r="Q455" s="163"/>
      <c r="R455" s="161"/>
      <c r="S455" s="163"/>
      <c r="T455" s="162"/>
    </row>
    <row r="456" spans="3:20" ht="20.25" customHeight="1">
      <c r="C456" s="109"/>
      <c r="D456" s="115">
        <f t="shared" si="100"/>
        <v>456</v>
      </c>
      <c r="E456" s="119" t="s">
        <v>450</v>
      </c>
      <c r="F456" s="121">
        <f t="shared" si="90"/>
        <v>455</v>
      </c>
      <c r="G456" s="118" t="s">
        <v>201</v>
      </c>
      <c r="H456" s="118"/>
      <c r="I456" s="117">
        <v>12</v>
      </c>
      <c r="J456" s="117" t="str">
        <f>J454</f>
        <v>1560 mm id</v>
      </c>
      <c r="K456" s="131">
        <v>1</v>
      </c>
      <c r="L456" s="131" t="s">
        <v>81</v>
      </c>
      <c r="M456" s="132">
        <v>1</v>
      </c>
      <c r="N456" s="117" t="s">
        <v>249</v>
      </c>
      <c r="O456" s="133">
        <v>1</v>
      </c>
      <c r="P456" s="117" t="s">
        <v>112</v>
      </c>
      <c r="Q456" s="163">
        <f t="shared" si="91"/>
        <v>1</v>
      </c>
      <c r="R456" s="161">
        <v>1</v>
      </c>
      <c r="S456" s="163">
        <f t="shared" si="92"/>
        <v>2</v>
      </c>
      <c r="T456" s="165" t="s">
        <v>112</v>
      </c>
    </row>
    <row r="457" spans="3:20" ht="20.25" customHeight="1">
      <c r="C457" s="109"/>
      <c r="D457" s="115">
        <f t="shared" si="100"/>
        <v>457</v>
      </c>
      <c r="E457" s="119" t="s">
        <v>451</v>
      </c>
      <c r="F457" s="121">
        <f t="shared" si="90"/>
        <v>456</v>
      </c>
      <c r="G457" s="118" t="s">
        <v>115</v>
      </c>
      <c r="H457" s="118"/>
      <c r="I457" s="117">
        <v>12</v>
      </c>
      <c r="J457" s="117" t="str">
        <f>J456</f>
        <v>1560 mm id</v>
      </c>
      <c r="K457" s="131">
        <v>1</v>
      </c>
      <c r="L457" s="131" t="s">
        <v>81</v>
      </c>
      <c r="M457" s="141">
        <f t="shared" ref="M457:M460" si="101">LEFT(J457,SEARCH(" ",J457,1)-1)*K457*3.142*0.001</f>
        <v>4.9015199999999997</v>
      </c>
      <c r="N457" s="117" t="s">
        <v>249</v>
      </c>
      <c r="O457" s="175">
        <f>VLOOKUP(I457,BM!$A$2:$X$104,17,FALSE)</f>
        <v>2.5</v>
      </c>
      <c r="P457" s="117" t="s">
        <v>112</v>
      </c>
      <c r="Q457" s="163">
        <f t="shared" si="91"/>
        <v>12.253799999999998</v>
      </c>
      <c r="R457" s="161">
        <v>1</v>
      </c>
      <c r="S457" s="163">
        <f t="shared" si="92"/>
        <v>13.253799999999998</v>
      </c>
      <c r="T457" s="165" t="s">
        <v>112</v>
      </c>
    </row>
    <row r="458" spans="3:20" ht="20.25" customHeight="1">
      <c r="C458" s="109"/>
      <c r="D458" s="115">
        <f t="shared" si="100"/>
        <v>458</v>
      </c>
      <c r="E458" s="119" t="s">
        <v>452</v>
      </c>
      <c r="F458" s="121">
        <f t="shared" si="90"/>
        <v>457</v>
      </c>
      <c r="G458" s="118" t="s">
        <v>61</v>
      </c>
      <c r="H458" s="118"/>
      <c r="I458" s="117">
        <v>18</v>
      </c>
      <c r="J458" s="117" t="str">
        <f>J457</f>
        <v>1560 mm id</v>
      </c>
      <c r="K458" s="131">
        <v>1</v>
      </c>
      <c r="L458" s="131" t="s">
        <v>81</v>
      </c>
      <c r="M458" s="141">
        <f t="shared" si="101"/>
        <v>4.9015199999999997</v>
      </c>
      <c r="N458" s="117" t="s">
        <v>249</v>
      </c>
      <c r="O458" s="175">
        <f>VLOOKUP(I458,BM!$A$2:$X$104,18,FALSE)</f>
        <v>1</v>
      </c>
      <c r="P458" s="117" t="s">
        <v>112</v>
      </c>
      <c r="Q458" s="163">
        <f t="shared" si="91"/>
        <v>4.9015199999999997</v>
      </c>
      <c r="R458" s="161">
        <v>1</v>
      </c>
      <c r="S458" s="163">
        <f t="shared" si="92"/>
        <v>5.9015199999999997</v>
      </c>
      <c r="T458" s="165" t="s">
        <v>112</v>
      </c>
    </row>
    <row r="459" spans="3:20" ht="20.25" customHeight="1">
      <c r="C459" s="109"/>
      <c r="D459" s="115">
        <f t="shared" si="100"/>
        <v>459</v>
      </c>
      <c r="E459" s="119" t="s">
        <v>453</v>
      </c>
      <c r="F459" s="121">
        <f t="shared" si="90"/>
        <v>458</v>
      </c>
      <c r="G459" s="118" t="s">
        <v>115</v>
      </c>
      <c r="H459" s="118"/>
      <c r="I459" s="117">
        <v>6</v>
      </c>
      <c r="J459" s="117" t="str">
        <f>J458</f>
        <v>1560 mm id</v>
      </c>
      <c r="K459" s="131">
        <v>1</v>
      </c>
      <c r="L459" s="131" t="s">
        <v>81</v>
      </c>
      <c r="M459" s="141">
        <f t="shared" si="101"/>
        <v>4.9015199999999997</v>
      </c>
      <c r="N459" s="117" t="s">
        <v>249</v>
      </c>
      <c r="O459" s="175">
        <f>VLOOKUP(I459,BM!$A$2:$X$104,17,FALSE)</f>
        <v>0.9</v>
      </c>
      <c r="P459" s="117" t="s">
        <v>112</v>
      </c>
      <c r="Q459" s="163">
        <f t="shared" si="91"/>
        <v>4.4113679999999995</v>
      </c>
      <c r="R459" s="161">
        <v>1</v>
      </c>
      <c r="S459" s="163">
        <f t="shared" si="92"/>
        <v>5.4113679999999995</v>
      </c>
      <c r="T459" s="165" t="s">
        <v>112</v>
      </c>
    </row>
    <row r="460" spans="3:20" ht="20.25" customHeight="1">
      <c r="C460" s="109"/>
      <c r="D460" s="115">
        <f t="shared" si="100"/>
        <v>460</v>
      </c>
      <c r="E460" s="119" t="s">
        <v>454</v>
      </c>
      <c r="F460" s="121">
        <f t="shared" si="90"/>
        <v>459</v>
      </c>
      <c r="G460" s="118" t="s">
        <v>61</v>
      </c>
      <c r="H460" s="118"/>
      <c r="I460" s="117">
        <v>18</v>
      </c>
      <c r="J460" s="117" t="str">
        <f>J459</f>
        <v>1560 mm id</v>
      </c>
      <c r="K460" s="131">
        <v>1</v>
      </c>
      <c r="L460" s="131" t="s">
        <v>81</v>
      </c>
      <c r="M460" s="141">
        <f t="shared" si="101"/>
        <v>4.9015199999999997</v>
      </c>
      <c r="N460" s="117" t="s">
        <v>249</v>
      </c>
      <c r="O460" s="175">
        <f>VLOOKUP(I460,BM!$A$2:$X$104,20,FALSE)</f>
        <v>0.5</v>
      </c>
      <c r="P460" s="117" t="s">
        <v>112</v>
      </c>
      <c r="Q460" s="163">
        <f t="shared" si="91"/>
        <v>2.4507599999999998</v>
      </c>
      <c r="R460" s="161">
        <v>1</v>
      </c>
      <c r="S460" s="163">
        <f t="shared" si="92"/>
        <v>3.4507599999999998</v>
      </c>
      <c r="T460" s="165" t="s">
        <v>112</v>
      </c>
    </row>
    <row r="461" spans="3:20" ht="20.25" customHeight="1">
      <c r="C461" s="109">
        <f>D461</f>
        <v>461</v>
      </c>
      <c r="D461" s="115">
        <f t="shared" si="100"/>
        <v>461</v>
      </c>
      <c r="E461" s="116" t="s">
        <v>455</v>
      </c>
      <c r="F461" s="121">
        <f>D455</f>
        <v>455</v>
      </c>
      <c r="G461" s="118"/>
      <c r="H461" s="118"/>
      <c r="I461" s="117"/>
      <c r="J461" s="117"/>
      <c r="K461" s="131"/>
      <c r="L461" s="131"/>
      <c r="M461" s="132"/>
      <c r="N461" s="117"/>
      <c r="O461" s="133"/>
      <c r="P461" s="117"/>
      <c r="Q461" s="163"/>
      <c r="R461" s="161"/>
      <c r="S461" s="163"/>
      <c r="T461" s="162"/>
    </row>
    <row r="462" spans="3:20" ht="20.25" customHeight="1">
      <c r="C462" s="109"/>
      <c r="D462" s="115">
        <f t="shared" si="100"/>
        <v>462</v>
      </c>
      <c r="E462" s="119" t="s">
        <v>456</v>
      </c>
      <c r="F462" s="121">
        <f t="shared" si="90"/>
        <v>461</v>
      </c>
      <c r="G462" s="118" t="s">
        <v>312</v>
      </c>
      <c r="H462" s="118"/>
      <c r="I462" s="117">
        <v>18</v>
      </c>
      <c r="J462" s="117" t="str">
        <f>J460</f>
        <v>1560 mm id</v>
      </c>
      <c r="K462" s="131">
        <v>1</v>
      </c>
      <c r="L462" s="131" t="s">
        <v>39</v>
      </c>
      <c r="M462" s="132">
        <v>1</v>
      </c>
      <c r="N462" s="117" t="s">
        <v>457</v>
      </c>
      <c r="O462" s="133">
        <v>1</v>
      </c>
      <c r="P462" s="117" t="s">
        <v>41</v>
      </c>
      <c r="Q462" s="163">
        <f t="shared" si="91"/>
        <v>1</v>
      </c>
      <c r="R462" s="161"/>
      <c r="S462" s="163">
        <f t="shared" si="92"/>
        <v>1</v>
      </c>
      <c r="T462" s="165" t="s">
        <v>41</v>
      </c>
    </row>
    <row r="463" spans="3:20" ht="20.25" customHeight="1">
      <c r="C463" s="109">
        <f>D463</f>
        <v>463</v>
      </c>
      <c r="D463" s="115">
        <f t="shared" si="100"/>
        <v>463</v>
      </c>
      <c r="E463" s="116" t="s">
        <v>768</v>
      </c>
      <c r="F463" s="121">
        <f>D461</f>
        <v>461</v>
      </c>
      <c r="G463" s="118"/>
      <c r="H463" s="118"/>
      <c r="I463" s="117"/>
      <c r="J463" s="117"/>
      <c r="K463" s="131"/>
      <c r="L463" s="131"/>
      <c r="M463" s="132"/>
      <c r="N463" s="117"/>
      <c r="O463" s="133"/>
      <c r="P463" s="117"/>
      <c r="Q463" s="163"/>
      <c r="R463" s="161"/>
      <c r="S463" s="163"/>
      <c r="T463" s="162"/>
    </row>
    <row r="464" spans="3:20" ht="20.25" customHeight="1">
      <c r="C464" s="109"/>
      <c r="D464" s="115">
        <f t="shared" si="100"/>
        <v>464</v>
      </c>
      <c r="E464" s="119" t="s">
        <v>459</v>
      </c>
      <c r="F464" s="121">
        <f t="shared" si="90"/>
        <v>463</v>
      </c>
      <c r="G464" s="118" t="s">
        <v>44</v>
      </c>
      <c r="H464" s="118"/>
      <c r="I464" s="117">
        <v>18</v>
      </c>
      <c r="J464" s="117" t="str">
        <f>J462</f>
        <v>1560 mm id</v>
      </c>
      <c r="K464" s="131">
        <v>1</v>
      </c>
      <c r="L464" s="131" t="s">
        <v>81</v>
      </c>
      <c r="M464" s="132">
        <v>1</v>
      </c>
      <c r="N464" s="117" t="s">
        <v>81</v>
      </c>
      <c r="O464" s="133">
        <v>4</v>
      </c>
      <c r="P464" s="117" t="s">
        <v>112</v>
      </c>
      <c r="Q464" s="163">
        <f t="shared" si="91"/>
        <v>4</v>
      </c>
      <c r="R464" s="161">
        <v>1</v>
      </c>
      <c r="S464" s="163">
        <f t="shared" si="92"/>
        <v>5</v>
      </c>
      <c r="T464" s="165" t="s">
        <v>48</v>
      </c>
    </row>
    <row r="465" spans="3:20" ht="20.25" customHeight="1">
      <c r="C465" s="109"/>
      <c r="D465" s="115">
        <f t="shared" si="100"/>
        <v>465</v>
      </c>
      <c r="E465" s="119" t="s">
        <v>460</v>
      </c>
      <c r="F465" s="121">
        <f t="shared" si="90"/>
        <v>464</v>
      </c>
      <c r="G465" s="118" t="s">
        <v>44</v>
      </c>
      <c r="H465" s="118"/>
      <c r="I465" s="117">
        <v>18</v>
      </c>
      <c r="J465" s="117" t="str">
        <f>J464</f>
        <v>1560 mm id</v>
      </c>
      <c r="K465" s="131">
        <v>1</v>
      </c>
      <c r="L465" s="131" t="s">
        <v>81</v>
      </c>
      <c r="M465" s="132">
        <v>1</v>
      </c>
      <c r="N465" s="117" t="s">
        <v>81</v>
      </c>
      <c r="O465" s="133">
        <v>4</v>
      </c>
      <c r="P465" s="117" t="s">
        <v>112</v>
      </c>
      <c r="Q465" s="163">
        <f t="shared" si="91"/>
        <v>4</v>
      </c>
      <c r="R465" s="161">
        <v>1</v>
      </c>
      <c r="S465" s="163">
        <f t="shared" si="92"/>
        <v>5</v>
      </c>
      <c r="T465" s="165" t="s">
        <v>48</v>
      </c>
    </row>
    <row r="466" spans="3:20" ht="20.25" customHeight="1">
      <c r="C466" s="109">
        <f>D466</f>
        <v>466</v>
      </c>
      <c r="D466" s="115">
        <f t="shared" si="100"/>
        <v>466</v>
      </c>
      <c r="E466" s="116" t="s">
        <v>461</v>
      </c>
      <c r="F466" s="121">
        <f>D463</f>
        <v>463</v>
      </c>
      <c r="G466" s="118"/>
      <c r="H466" s="118"/>
      <c r="I466" s="117"/>
      <c r="J466" s="117"/>
      <c r="K466" s="131"/>
      <c r="L466" s="131"/>
      <c r="M466" s="132"/>
      <c r="N466" s="117"/>
      <c r="O466" s="133"/>
      <c r="P466" s="117"/>
      <c r="Q466" s="163"/>
      <c r="R466" s="161"/>
      <c r="S466" s="163"/>
      <c r="T466" s="162"/>
    </row>
    <row r="467" spans="3:20" ht="20.25" customHeight="1">
      <c r="C467" s="109"/>
      <c r="D467" s="115">
        <f t="shared" si="100"/>
        <v>467</v>
      </c>
      <c r="E467" s="119" t="s">
        <v>462</v>
      </c>
      <c r="F467" s="121">
        <f t="shared" si="90"/>
        <v>466</v>
      </c>
      <c r="G467" s="118" t="s">
        <v>52</v>
      </c>
      <c r="H467" s="118"/>
      <c r="I467" s="117"/>
      <c r="J467" s="145" t="s">
        <v>463</v>
      </c>
      <c r="K467" s="131">
        <v>1</v>
      </c>
      <c r="L467" s="131" t="s">
        <v>39</v>
      </c>
      <c r="M467" s="132">
        <v>1</v>
      </c>
      <c r="N467" s="117"/>
      <c r="O467" s="175">
        <f>VLOOKUP(J467,BM!$A$2:$X$104,2,FALSE)</f>
        <v>2</v>
      </c>
      <c r="P467" s="117" t="s">
        <v>112</v>
      </c>
      <c r="Q467" s="163">
        <f t="shared" si="91"/>
        <v>2</v>
      </c>
      <c r="R467" s="161">
        <v>1</v>
      </c>
      <c r="S467" s="163">
        <f t="shared" si="92"/>
        <v>3</v>
      </c>
      <c r="T467" s="165" t="s">
        <v>48</v>
      </c>
    </row>
    <row r="468" spans="3:20" ht="20.25" customHeight="1">
      <c r="C468" s="109"/>
      <c r="D468" s="115">
        <f t="shared" si="100"/>
        <v>468</v>
      </c>
      <c r="E468" s="119" t="s">
        <v>464</v>
      </c>
      <c r="F468" s="121">
        <f t="shared" si="90"/>
        <v>467</v>
      </c>
      <c r="G468" s="118" t="s">
        <v>52</v>
      </c>
      <c r="H468" s="118"/>
      <c r="I468" s="117"/>
      <c r="J468" s="145" t="s">
        <v>463</v>
      </c>
      <c r="K468" s="131">
        <v>1</v>
      </c>
      <c r="L468" s="131" t="s">
        <v>39</v>
      </c>
      <c r="M468" s="132">
        <v>1</v>
      </c>
      <c r="N468" s="117"/>
      <c r="O468" s="175">
        <f>VLOOKUP(J468,BM!$A$2:$X$104,2,FALSE)</f>
        <v>2</v>
      </c>
      <c r="P468" s="117" t="s">
        <v>112</v>
      </c>
      <c r="Q468" s="163">
        <f t="shared" si="91"/>
        <v>2</v>
      </c>
      <c r="R468" s="161">
        <v>1</v>
      </c>
      <c r="S468" s="163">
        <f t="shared" si="92"/>
        <v>3</v>
      </c>
      <c r="T468" s="165" t="s">
        <v>48</v>
      </c>
    </row>
    <row r="469" spans="3:20" ht="20.25" customHeight="1">
      <c r="C469" s="109">
        <f>D469</f>
        <v>469</v>
      </c>
      <c r="D469" s="115">
        <f t="shared" si="100"/>
        <v>469</v>
      </c>
      <c r="E469" s="116" t="s">
        <v>465</v>
      </c>
      <c r="F469" s="121">
        <f>D466</f>
        <v>466</v>
      </c>
      <c r="G469" s="118"/>
      <c r="H469" s="118"/>
      <c r="I469" s="117"/>
      <c r="J469" s="117"/>
      <c r="K469" s="131"/>
      <c r="L469" s="131"/>
      <c r="M469" s="132"/>
      <c r="N469" s="117"/>
      <c r="O469" s="133"/>
      <c r="P469" s="117"/>
      <c r="Q469" s="163"/>
      <c r="R469" s="161"/>
      <c r="S469" s="163"/>
      <c r="T469" s="162"/>
    </row>
    <row r="470" spans="3:20" ht="20.25" customHeight="1">
      <c r="C470" s="109"/>
      <c r="D470" s="115">
        <f t="shared" si="100"/>
        <v>470</v>
      </c>
      <c r="E470" s="119" t="s">
        <v>466</v>
      </c>
      <c r="F470" s="121">
        <f t="shared" si="90"/>
        <v>469</v>
      </c>
      <c r="G470" s="118" t="s">
        <v>121</v>
      </c>
      <c r="H470" s="118"/>
      <c r="I470" s="117"/>
      <c r="J470" s="117" t="str">
        <f>J468</f>
        <v>400nb</v>
      </c>
      <c r="K470" s="131">
        <v>1</v>
      </c>
      <c r="L470" s="131" t="s">
        <v>39</v>
      </c>
      <c r="M470" s="132">
        <v>1</v>
      </c>
      <c r="N470" s="117"/>
      <c r="O470" s="175">
        <f>VLOOKUP(J470,BM!$A$2:$X$104,4,FALSE)</f>
        <v>2.5538175999999999</v>
      </c>
      <c r="P470" s="117" t="s">
        <v>112</v>
      </c>
      <c r="Q470" s="163">
        <f t="shared" si="91"/>
        <v>2.5538175999999999</v>
      </c>
      <c r="R470" s="161">
        <v>1</v>
      </c>
      <c r="S470" s="163">
        <f t="shared" si="92"/>
        <v>3.5538175999999999</v>
      </c>
      <c r="T470" s="165" t="s">
        <v>48</v>
      </c>
    </row>
    <row r="471" spans="3:20" ht="20.25" customHeight="1">
      <c r="C471" s="109"/>
      <c r="D471" s="115">
        <f t="shared" si="100"/>
        <v>471</v>
      </c>
      <c r="E471" s="119" t="s">
        <v>467</v>
      </c>
      <c r="F471" s="121">
        <f t="shared" si="90"/>
        <v>470</v>
      </c>
      <c r="G471" s="118" t="s">
        <v>121</v>
      </c>
      <c r="H471" s="118"/>
      <c r="I471" s="117"/>
      <c r="J471" s="117" t="str">
        <f>J468</f>
        <v>400nb</v>
      </c>
      <c r="K471" s="131">
        <v>1</v>
      </c>
      <c r="L471" s="131" t="s">
        <v>39</v>
      </c>
      <c r="M471" s="132">
        <v>1</v>
      </c>
      <c r="N471" s="117"/>
      <c r="O471" s="175">
        <f>VLOOKUP(J471,BM!$A$2:$X$104,4,FALSE)</f>
        <v>2.5538175999999999</v>
      </c>
      <c r="P471" s="117" t="s">
        <v>112</v>
      </c>
      <c r="Q471" s="163">
        <f t="shared" si="91"/>
        <v>2.5538175999999999</v>
      </c>
      <c r="R471" s="161">
        <v>1</v>
      </c>
      <c r="S471" s="163">
        <f t="shared" si="92"/>
        <v>3.5538175999999999</v>
      </c>
      <c r="T471" s="165" t="s">
        <v>48</v>
      </c>
    </row>
    <row r="472" spans="3:20" ht="20.25" customHeight="1">
      <c r="C472" s="109">
        <f>D472</f>
        <v>472</v>
      </c>
      <c r="D472" s="115">
        <f t="shared" si="100"/>
        <v>472</v>
      </c>
      <c r="E472" s="116" t="s">
        <v>468</v>
      </c>
      <c r="F472" s="121">
        <f>D469</f>
        <v>469</v>
      </c>
      <c r="G472" s="118"/>
      <c r="H472" s="118"/>
      <c r="I472" s="117"/>
      <c r="J472" s="117"/>
      <c r="K472" s="131"/>
      <c r="L472" s="131"/>
      <c r="M472" s="132"/>
      <c r="N472" s="117"/>
      <c r="O472" s="133"/>
      <c r="P472" s="117"/>
      <c r="Q472" s="163"/>
      <c r="R472" s="161"/>
      <c r="S472" s="163"/>
      <c r="T472" s="162"/>
    </row>
    <row r="473" spans="3:20" ht="20.25" customHeight="1">
      <c r="C473" s="109"/>
      <c r="D473" s="115">
        <f t="shared" si="100"/>
        <v>473</v>
      </c>
      <c r="E473" s="119" t="s">
        <v>469</v>
      </c>
      <c r="F473" s="121">
        <f t="shared" si="90"/>
        <v>472</v>
      </c>
      <c r="G473" s="118" t="s">
        <v>111</v>
      </c>
      <c r="H473" s="118"/>
      <c r="I473" s="117"/>
      <c r="J473" s="145" t="s">
        <v>463</v>
      </c>
      <c r="K473" s="131">
        <v>1</v>
      </c>
      <c r="L473" s="131" t="s">
        <v>39</v>
      </c>
      <c r="M473" s="132">
        <v>1</v>
      </c>
      <c r="N473" s="145" t="s">
        <v>39</v>
      </c>
      <c r="O473" s="175">
        <f>VLOOKUP(J473,BM!$A$2:$X$104,5,FALSE)</f>
        <v>2</v>
      </c>
      <c r="P473" s="117" t="s">
        <v>112</v>
      </c>
      <c r="Q473" s="163">
        <f t="shared" si="91"/>
        <v>2</v>
      </c>
      <c r="R473" s="161">
        <v>1</v>
      </c>
      <c r="S473" s="163">
        <f t="shared" si="92"/>
        <v>3</v>
      </c>
      <c r="T473" s="165" t="s">
        <v>48</v>
      </c>
    </row>
    <row r="474" spans="3:20" ht="20.25" customHeight="1">
      <c r="C474" s="109"/>
      <c r="D474" s="115">
        <f t="shared" si="100"/>
        <v>474</v>
      </c>
      <c r="E474" s="119" t="s">
        <v>470</v>
      </c>
      <c r="F474" s="121">
        <f t="shared" si="90"/>
        <v>473</v>
      </c>
      <c r="G474" s="118" t="s">
        <v>111</v>
      </c>
      <c r="H474" s="118"/>
      <c r="I474" s="117"/>
      <c r="J474" s="145" t="s">
        <v>463</v>
      </c>
      <c r="K474" s="131">
        <v>1</v>
      </c>
      <c r="L474" s="131" t="s">
        <v>39</v>
      </c>
      <c r="M474" s="132">
        <v>1</v>
      </c>
      <c r="N474" s="145" t="s">
        <v>39</v>
      </c>
      <c r="O474" s="175">
        <f>VLOOKUP(J474,BM!$A$2:$X$104,5,FALSE)</f>
        <v>2</v>
      </c>
      <c r="P474" s="117" t="s">
        <v>112</v>
      </c>
      <c r="Q474" s="163">
        <f t="shared" si="91"/>
        <v>2</v>
      </c>
      <c r="R474" s="161">
        <v>1</v>
      </c>
      <c r="S474" s="163">
        <f t="shared" si="92"/>
        <v>3</v>
      </c>
      <c r="T474" s="165" t="s">
        <v>48</v>
      </c>
    </row>
    <row r="475" spans="3:20" ht="20.25" customHeight="1">
      <c r="C475" s="109">
        <f>D475</f>
        <v>475</v>
      </c>
      <c r="D475" s="115">
        <f t="shared" si="100"/>
        <v>475</v>
      </c>
      <c r="E475" s="116" t="s">
        <v>471</v>
      </c>
      <c r="F475" s="121">
        <f>D472</f>
        <v>472</v>
      </c>
      <c r="G475" s="118"/>
      <c r="H475" s="118"/>
      <c r="I475" s="117"/>
      <c r="J475" s="117"/>
      <c r="K475" s="131"/>
      <c r="L475" s="131"/>
      <c r="M475" s="132"/>
      <c r="N475" s="117"/>
      <c r="O475" s="133"/>
      <c r="P475" s="117"/>
      <c r="Q475" s="163"/>
      <c r="R475" s="161"/>
      <c r="S475" s="163"/>
      <c r="T475" s="162"/>
    </row>
    <row r="476" spans="3:20" ht="20.25" customHeight="1">
      <c r="C476" s="109"/>
      <c r="D476" s="115">
        <f t="shared" si="100"/>
        <v>476</v>
      </c>
      <c r="E476" s="119" t="s">
        <v>472</v>
      </c>
      <c r="F476" s="121">
        <f t="shared" si="90"/>
        <v>475</v>
      </c>
      <c r="G476" s="118" t="s">
        <v>44</v>
      </c>
      <c r="H476" s="118"/>
      <c r="I476" s="117"/>
      <c r="J476" s="117" t="s">
        <v>463</v>
      </c>
      <c r="K476" s="131">
        <v>1</v>
      </c>
      <c r="L476" s="131" t="s">
        <v>39</v>
      </c>
      <c r="M476" s="132">
        <v>1</v>
      </c>
      <c r="N476" s="145" t="s">
        <v>39</v>
      </c>
      <c r="O476" s="133">
        <v>1</v>
      </c>
      <c r="P476" s="117" t="s">
        <v>112</v>
      </c>
      <c r="Q476" s="163">
        <f t="shared" ref="Q476:Q539" si="102">M476*O476</f>
        <v>1</v>
      </c>
      <c r="R476" s="161">
        <v>1</v>
      </c>
      <c r="S476" s="163">
        <f t="shared" ref="S476:S539" si="103">Q476+R476</f>
        <v>2</v>
      </c>
      <c r="T476" s="165" t="s">
        <v>48</v>
      </c>
    </row>
    <row r="477" spans="3:20" ht="20.25" customHeight="1">
      <c r="C477" s="109"/>
      <c r="D477" s="115">
        <f t="shared" si="100"/>
        <v>477</v>
      </c>
      <c r="E477" s="119" t="s">
        <v>473</v>
      </c>
      <c r="F477" s="121">
        <f t="shared" ref="F477:F540" si="104">D476</f>
        <v>476</v>
      </c>
      <c r="G477" s="118" t="s">
        <v>44</v>
      </c>
      <c r="H477" s="118"/>
      <c r="I477" s="117"/>
      <c r="J477" s="117" t="s">
        <v>463</v>
      </c>
      <c r="K477" s="131">
        <v>1</v>
      </c>
      <c r="L477" s="131" t="s">
        <v>39</v>
      </c>
      <c r="M477" s="132">
        <v>1</v>
      </c>
      <c r="N477" s="145" t="s">
        <v>39</v>
      </c>
      <c r="O477" s="133">
        <v>1</v>
      </c>
      <c r="P477" s="117" t="s">
        <v>112</v>
      </c>
      <c r="Q477" s="163">
        <f t="shared" si="102"/>
        <v>1</v>
      </c>
      <c r="R477" s="161">
        <v>1</v>
      </c>
      <c r="S477" s="163">
        <f t="shared" si="103"/>
        <v>2</v>
      </c>
      <c r="T477" s="165" t="s">
        <v>48</v>
      </c>
    </row>
    <row r="478" spans="3:20" ht="20.25" customHeight="1">
      <c r="C478" s="109">
        <f>D478</f>
        <v>478</v>
      </c>
      <c r="D478" s="115">
        <f t="shared" si="100"/>
        <v>478</v>
      </c>
      <c r="E478" s="116" t="s">
        <v>474</v>
      </c>
      <c r="F478" s="121">
        <f>D475</f>
        <v>475</v>
      </c>
      <c r="G478" s="118"/>
      <c r="H478" s="118"/>
      <c r="I478" s="117"/>
      <c r="J478" s="117"/>
      <c r="K478" s="131"/>
      <c r="L478" s="131"/>
      <c r="M478" s="132"/>
      <c r="N478" s="117"/>
      <c r="O478" s="133"/>
      <c r="P478" s="117"/>
      <c r="Q478" s="163"/>
      <c r="R478" s="161"/>
      <c r="S478" s="163"/>
      <c r="T478" s="162"/>
    </row>
    <row r="479" spans="3:20" ht="20.25" customHeight="1">
      <c r="C479" s="109"/>
      <c r="D479" s="115">
        <f t="shared" si="100"/>
        <v>479</v>
      </c>
      <c r="E479" s="119" t="s">
        <v>475</v>
      </c>
      <c r="F479" s="121">
        <f t="shared" si="104"/>
        <v>478</v>
      </c>
      <c r="G479" s="118" t="s">
        <v>201</v>
      </c>
      <c r="H479" s="118"/>
      <c r="I479" s="117"/>
      <c r="J479" s="145" t="s">
        <v>463</v>
      </c>
      <c r="K479" s="131">
        <v>2</v>
      </c>
      <c r="L479" s="131" t="s">
        <v>81</v>
      </c>
      <c r="M479" s="132">
        <v>1</v>
      </c>
      <c r="N479" s="145" t="s">
        <v>39</v>
      </c>
      <c r="O479" s="133">
        <v>0.5</v>
      </c>
      <c r="P479" s="117" t="s">
        <v>112</v>
      </c>
      <c r="Q479" s="163">
        <f t="shared" si="102"/>
        <v>0.5</v>
      </c>
      <c r="R479" s="161">
        <v>1</v>
      </c>
      <c r="S479" s="163">
        <f t="shared" si="103"/>
        <v>1.5</v>
      </c>
      <c r="T479" s="165" t="s">
        <v>48</v>
      </c>
    </row>
    <row r="480" spans="3:20" ht="20.25" customHeight="1">
      <c r="C480" s="109"/>
      <c r="D480" s="115">
        <f t="shared" si="100"/>
        <v>480</v>
      </c>
      <c r="E480" s="119" t="s">
        <v>476</v>
      </c>
      <c r="F480" s="121">
        <f t="shared" si="104"/>
        <v>479</v>
      </c>
      <c r="G480" s="118" t="s">
        <v>115</v>
      </c>
      <c r="H480" s="118"/>
      <c r="I480" s="117">
        <v>14</v>
      </c>
      <c r="J480" s="145" t="s">
        <v>477</v>
      </c>
      <c r="K480" s="131">
        <v>1</v>
      </c>
      <c r="L480" s="131" t="s">
        <v>39</v>
      </c>
      <c r="M480" s="155">
        <f>16*25.4*3.142*K480/1000</f>
        <v>1.2769088</v>
      </c>
      <c r="N480" s="145" t="s">
        <v>249</v>
      </c>
      <c r="O480" s="175">
        <f>VLOOKUP(I480,BM!$A$2:$X$104,17,FALSE)</f>
        <v>3.22</v>
      </c>
      <c r="P480" s="117" t="s">
        <v>112</v>
      </c>
      <c r="Q480" s="163">
        <f t="shared" si="102"/>
        <v>4.1116463359999997</v>
      </c>
      <c r="R480" s="161">
        <v>1</v>
      </c>
      <c r="S480" s="163">
        <f t="shared" si="103"/>
        <v>5.1116463359999997</v>
      </c>
      <c r="T480" s="165" t="s">
        <v>48</v>
      </c>
    </row>
    <row r="481" spans="3:21" ht="20.25" customHeight="1">
      <c r="C481" s="109"/>
      <c r="D481" s="115">
        <f t="shared" si="100"/>
        <v>481</v>
      </c>
      <c r="E481" s="119" t="s">
        <v>478</v>
      </c>
      <c r="F481" s="121">
        <f t="shared" si="104"/>
        <v>480</v>
      </c>
      <c r="G481" s="118" t="s">
        <v>115</v>
      </c>
      <c r="H481" s="118"/>
      <c r="I481" s="117">
        <v>14</v>
      </c>
      <c r="J481" s="145" t="s">
        <v>477</v>
      </c>
      <c r="K481" s="131">
        <v>1</v>
      </c>
      <c r="L481" s="131" t="s">
        <v>39</v>
      </c>
      <c r="M481" s="155">
        <f>16*25.4*3.142*K481/1000</f>
        <v>1.2769088</v>
      </c>
      <c r="N481" s="145" t="s">
        <v>249</v>
      </c>
      <c r="O481" s="175">
        <f>VLOOKUP(I481,BM!$A$2:$X$104,17,FALSE)</f>
        <v>3.22</v>
      </c>
      <c r="P481" s="117" t="s">
        <v>112</v>
      </c>
      <c r="Q481" s="163">
        <f t="shared" si="102"/>
        <v>4.1116463359999997</v>
      </c>
      <c r="R481" s="161">
        <v>1</v>
      </c>
      <c r="S481" s="163">
        <f t="shared" si="103"/>
        <v>5.1116463359999997</v>
      </c>
      <c r="T481" s="165" t="s">
        <v>48</v>
      </c>
    </row>
    <row r="482" spans="3:21" ht="20.25" customHeight="1">
      <c r="C482" s="109"/>
      <c r="D482" s="115">
        <f t="shared" si="100"/>
        <v>482</v>
      </c>
      <c r="E482" s="119" t="s">
        <v>479</v>
      </c>
      <c r="F482" s="121">
        <f t="shared" si="104"/>
        <v>481</v>
      </c>
      <c r="G482" s="118" t="s">
        <v>115</v>
      </c>
      <c r="H482" s="118"/>
      <c r="I482" s="117">
        <v>14</v>
      </c>
      <c r="J482" s="145" t="s">
        <v>477</v>
      </c>
      <c r="K482" s="131">
        <v>2</v>
      </c>
      <c r="L482" s="131" t="s">
        <v>39</v>
      </c>
      <c r="M482" s="132">
        <v>2</v>
      </c>
      <c r="N482" s="145" t="s">
        <v>81</v>
      </c>
      <c r="O482" s="133">
        <v>1</v>
      </c>
      <c r="P482" s="117" t="s">
        <v>112</v>
      </c>
      <c r="Q482" s="163">
        <f t="shared" si="102"/>
        <v>2</v>
      </c>
      <c r="R482" s="161">
        <v>1</v>
      </c>
      <c r="S482" s="163">
        <f t="shared" si="103"/>
        <v>3</v>
      </c>
      <c r="T482" s="165" t="s">
        <v>48</v>
      </c>
    </row>
    <row r="483" spans="3:21" ht="20.25" customHeight="1">
      <c r="C483" s="109"/>
      <c r="D483" s="115">
        <f t="shared" si="100"/>
        <v>483</v>
      </c>
      <c r="E483" s="119" t="s">
        <v>480</v>
      </c>
      <c r="F483" s="121">
        <f t="shared" si="104"/>
        <v>482</v>
      </c>
      <c r="G483" s="118" t="s">
        <v>115</v>
      </c>
      <c r="H483" s="118"/>
      <c r="I483" s="117">
        <v>6</v>
      </c>
      <c r="J483" s="145" t="s">
        <v>477</v>
      </c>
      <c r="K483" s="131">
        <v>1</v>
      </c>
      <c r="L483" s="131" t="s">
        <v>39</v>
      </c>
      <c r="M483" s="155">
        <f>16*25.4*3.142*K483/1000</f>
        <v>1.2769088</v>
      </c>
      <c r="N483" s="145" t="s">
        <v>249</v>
      </c>
      <c r="O483" s="175">
        <f>VLOOKUP(I483,BM!$A$2:$X$104,17,FALSE)</f>
        <v>0.9</v>
      </c>
      <c r="P483" s="117" t="s">
        <v>112</v>
      </c>
      <c r="Q483" s="163">
        <f t="shared" si="102"/>
        <v>1.1492179199999999</v>
      </c>
      <c r="R483" s="161">
        <v>1</v>
      </c>
      <c r="S483" s="163">
        <f t="shared" si="103"/>
        <v>2.1492179199999999</v>
      </c>
      <c r="T483" s="165" t="s">
        <v>48</v>
      </c>
    </row>
    <row r="484" spans="3:21" ht="20.25" customHeight="1">
      <c r="C484" s="109"/>
      <c r="D484" s="115">
        <f t="shared" si="100"/>
        <v>484</v>
      </c>
      <c r="E484" s="119" t="s">
        <v>481</v>
      </c>
      <c r="F484" s="121">
        <f t="shared" si="104"/>
        <v>483</v>
      </c>
      <c r="G484" s="118" t="s">
        <v>115</v>
      </c>
      <c r="H484" s="118"/>
      <c r="I484" s="117">
        <v>6</v>
      </c>
      <c r="J484" s="145" t="s">
        <v>477</v>
      </c>
      <c r="K484" s="131">
        <v>1</v>
      </c>
      <c r="L484" s="131" t="s">
        <v>39</v>
      </c>
      <c r="M484" s="155">
        <f>16*25.4*3.142*K484/1000</f>
        <v>1.2769088</v>
      </c>
      <c r="N484" s="145" t="s">
        <v>249</v>
      </c>
      <c r="O484" s="175">
        <f>VLOOKUP(I484,BM!$A$2:$X$104,17,FALSE)</f>
        <v>0.9</v>
      </c>
      <c r="P484" s="117" t="s">
        <v>112</v>
      </c>
      <c r="Q484" s="163">
        <f t="shared" si="102"/>
        <v>1.1492179199999999</v>
      </c>
      <c r="R484" s="161">
        <v>1</v>
      </c>
      <c r="S484" s="163">
        <f t="shared" si="103"/>
        <v>2.1492179199999999</v>
      </c>
      <c r="T484" s="165" t="s">
        <v>48</v>
      </c>
    </row>
    <row r="485" spans="3:21" ht="20.25" customHeight="1">
      <c r="C485" s="109"/>
      <c r="D485" s="115">
        <f t="shared" si="100"/>
        <v>485</v>
      </c>
      <c r="E485" s="119" t="s">
        <v>769</v>
      </c>
      <c r="F485" s="121">
        <f t="shared" si="104"/>
        <v>484</v>
      </c>
      <c r="G485" s="118" t="s">
        <v>115</v>
      </c>
      <c r="H485" s="118"/>
      <c r="I485" s="117"/>
      <c r="J485" s="145" t="s">
        <v>463</v>
      </c>
      <c r="K485" s="131">
        <v>2</v>
      </c>
      <c r="L485" s="131" t="s">
        <v>39</v>
      </c>
      <c r="M485" s="132">
        <v>2</v>
      </c>
      <c r="N485" s="117" t="s">
        <v>84</v>
      </c>
      <c r="O485" s="175">
        <f>VLOOKUP(J485,BM!$A$2:$X$104,11,FALSE)</f>
        <v>4</v>
      </c>
      <c r="P485" s="117" t="s">
        <v>112</v>
      </c>
      <c r="Q485" s="163">
        <f t="shared" si="102"/>
        <v>8</v>
      </c>
      <c r="R485" s="161">
        <v>1</v>
      </c>
      <c r="S485" s="163">
        <f t="shared" si="103"/>
        <v>9</v>
      </c>
      <c r="T485" s="165" t="s">
        <v>48</v>
      </c>
    </row>
    <row r="486" spans="3:21" ht="20.25" customHeight="1">
      <c r="C486" s="109"/>
      <c r="D486" s="115">
        <f t="shared" si="100"/>
        <v>486</v>
      </c>
      <c r="E486" s="119" t="s">
        <v>483</v>
      </c>
      <c r="F486" s="121">
        <f t="shared" si="104"/>
        <v>485</v>
      </c>
      <c r="G486" s="118" t="s">
        <v>121</v>
      </c>
      <c r="H486" s="118"/>
      <c r="I486" s="117">
        <v>18</v>
      </c>
      <c r="J486" s="117"/>
      <c r="K486" s="131">
        <v>2</v>
      </c>
      <c r="L486" s="131" t="s">
        <v>39</v>
      </c>
      <c r="M486" s="155">
        <f>16*25.4*3.142*0.001*K486</f>
        <v>2.5538175999999999</v>
      </c>
      <c r="N486" s="117" t="s">
        <v>249</v>
      </c>
      <c r="O486" s="175">
        <f>VLOOKUP(I486,BM!$A$2:$X$104,23,FALSE)</f>
        <v>6.8</v>
      </c>
      <c r="P486" s="117" t="s">
        <v>112</v>
      </c>
      <c r="Q486" s="163">
        <f t="shared" si="102"/>
        <v>17.36595968</v>
      </c>
      <c r="R486" s="161">
        <v>1</v>
      </c>
      <c r="S486" s="163">
        <f t="shared" si="103"/>
        <v>18.36595968</v>
      </c>
      <c r="T486" s="165" t="s">
        <v>48</v>
      </c>
    </row>
    <row r="487" spans="3:21" ht="20.25" customHeight="1">
      <c r="C487" s="109"/>
      <c r="D487" s="115">
        <f t="shared" si="100"/>
        <v>487</v>
      </c>
      <c r="E487" s="119" t="s">
        <v>484</v>
      </c>
      <c r="F487" s="121">
        <f t="shared" si="104"/>
        <v>486</v>
      </c>
      <c r="G487" s="118" t="s">
        <v>61</v>
      </c>
      <c r="H487" s="118"/>
      <c r="I487" s="117"/>
      <c r="J487" s="145" t="s">
        <v>477</v>
      </c>
      <c r="K487" s="131">
        <v>2</v>
      </c>
      <c r="L487" s="131" t="s">
        <v>485</v>
      </c>
      <c r="M487" s="155">
        <f>16*25.4*3.142*K487/1000</f>
        <v>2.5538175999999999</v>
      </c>
      <c r="N487" s="117" t="s">
        <v>39</v>
      </c>
      <c r="O487" s="133">
        <v>0.15</v>
      </c>
      <c r="P487" s="117" t="s">
        <v>112</v>
      </c>
      <c r="Q487" s="163">
        <f t="shared" si="102"/>
        <v>0.38307263999999996</v>
      </c>
      <c r="R487" s="161">
        <v>1</v>
      </c>
      <c r="S487" s="163">
        <f t="shared" si="103"/>
        <v>1.38307264</v>
      </c>
      <c r="T487" s="165" t="s">
        <v>48</v>
      </c>
    </row>
    <row r="488" spans="3:21" ht="20.25" customHeight="1">
      <c r="C488" s="109">
        <f>D488</f>
        <v>488</v>
      </c>
      <c r="D488" s="115">
        <f t="shared" si="100"/>
        <v>488</v>
      </c>
      <c r="E488" s="116" t="s">
        <v>770</v>
      </c>
      <c r="F488" s="121">
        <f>D478</f>
        <v>478</v>
      </c>
      <c r="G488" s="118"/>
      <c r="H488" s="118"/>
      <c r="I488" s="117"/>
      <c r="J488" s="117"/>
      <c r="K488" s="131"/>
      <c r="L488" s="131"/>
      <c r="M488" s="132"/>
      <c r="N488" s="117"/>
      <c r="O488" s="133"/>
      <c r="P488" s="117"/>
      <c r="Q488" s="163"/>
      <c r="R488" s="161"/>
      <c r="S488" s="163"/>
      <c r="T488" s="162"/>
    </row>
    <row r="489" spans="3:21" ht="20.25" customHeight="1">
      <c r="C489" s="109"/>
      <c r="D489" s="115">
        <f t="shared" si="100"/>
        <v>489</v>
      </c>
      <c r="E489" s="119" t="s">
        <v>487</v>
      </c>
      <c r="F489" s="121">
        <f t="shared" si="104"/>
        <v>488</v>
      </c>
      <c r="G489" s="118" t="s">
        <v>299</v>
      </c>
      <c r="H489" s="118"/>
      <c r="I489" s="117">
        <v>24</v>
      </c>
      <c r="J489" s="145">
        <v>14465</v>
      </c>
      <c r="K489" s="131">
        <v>1</v>
      </c>
      <c r="L489" s="131" t="s">
        <v>39</v>
      </c>
      <c r="M489" s="132">
        <f>J489*K489/1000</f>
        <v>14.465</v>
      </c>
      <c r="N489" s="117" t="s">
        <v>81</v>
      </c>
      <c r="O489" s="133">
        <v>0.5</v>
      </c>
      <c r="P489" s="117" t="s">
        <v>112</v>
      </c>
      <c r="Q489" s="163">
        <f t="shared" si="102"/>
        <v>7.2324999999999999</v>
      </c>
      <c r="R489" s="161">
        <v>1</v>
      </c>
      <c r="S489" s="163">
        <f t="shared" si="103"/>
        <v>8.2324999999999999</v>
      </c>
      <c r="T489" s="165" t="s">
        <v>48</v>
      </c>
      <c r="U489" s="100">
        <f>466*2*2+1231*2*2+1212*2+1231+780*2+1231*2</f>
        <v>14465</v>
      </c>
    </row>
    <row r="490" spans="3:21" ht="20.25" customHeight="1">
      <c r="C490" s="109"/>
      <c r="D490" s="115">
        <f t="shared" si="100"/>
        <v>490</v>
      </c>
      <c r="E490" s="119" t="s">
        <v>488</v>
      </c>
      <c r="F490" s="121">
        <f t="shared" si="104"/>
        <v>489</v>
      </c>
      <c r="G490" s="118" t="s">
        <v>44</v>
      </c>
      <c r="H490" s="118"/>
      <c r="I490" s="117">
        <v>24</v>
      </c>
      <c r="J490" s="145" t="s">
        <v>489</v>
      </c>
      <c r="K490" s="131">
        <v>3</v>
      </c>
      <c r="L490" s="131" t="s">
        <v>39</v>
      </c>
      <c r="M490" s="132">
        <v>4</v>
      </c>
      <c r="N490" s="117" t="s">
        <v>81</v>
      </c>
      <c r="O490" s="133">
        <v>0.5</v>
      </c>
      <c r="P490" s="117" t="s">
        <v>112</v>
      </c>
      <c r="Q490" s="163">
        <f t="shared" si="102"/>
        <v>2</v>
      </c>
      <c r="R490" s="161">
        <v>1</v>
      </c>
      <c r="S490" s="163">
        <f t="shared" si="103"/>
        <v>3</v>
      </c>
      <c r="T490" s="165" t="s">
        <v>48</v>
      </c>
    </row>
    <row r="491" spans="3:21" ht="20.25" customHeight="1">
      <c r="C491" s="109">
        <f>D491</f>
        <v>491</v>
      </c>
      <c r="D491" s="115">
        <f t="shared" si="100"/>
        <v>491</v>
      </c>
      <c r="E491" s="116" t="s">
        <v>490</v>
      </c>
      <c r="F491" s="121">
        <f>D488</f>
        <v>488</v>
      </c>
      <c r="G491" s="118"/>
      <c r="H491" s="118"/>
      <c r="I491" s="117"/>
      <c r="J491" s="117"/>
      <c r="K491" s="131"/>
      <c r="L491" s="131"/>
      <c r="M491" s="132"/>
      <c r="N491" s="117"/>
      <c r="O491" s="133"/>
      <c r="P491" s="117"/>
      <c r="Q491" s="163"/>
      <c r="R491" s="161"/>
      <c r="S491" s="163"/>
      <c r="T491" s="162"/>
    </row>
    <row r="492" spans="3:21" ht="20.25" customHeight="1">
      <c r="C492" s="109"/>
      <c r="D492" s="115">
        <f t="shared" si="100"/>
        <v>492</v>
      </c>
      <c r="E492" s="119" t="s">
        <v>491</v>
      </c>
      <c r="F492" s="121">
        <f t="shared" si="104"/>
        <v>491</v>
      </c>
      <c r="G492" s="118" t="s">
        <v>115</v>
      </c>
      <c r="H492" s="118"/>
      <c r="I492" s="117">
        <v>24</v>
      </c>
      <c r="J492" s="117">
        <v>1480</v>
      </c>
      <c r="K492" s="131">
        <v>3</v>
      </c>
      <c r="L492" s="131" t="s">
        <v>39</v>
      </c>
      <c r="M492" s="155">
        <f>J492*K492/1000</f>
        <v>4.4400000000000004</v>
      </c>
      <c r="N492" s="117"/>
      <c r="O492" s="175">
        <f>VLOOKUP(I492,BM!$A$2:$X$104,23,FALSE)</f>
        <v>11.2</v>
      </c>
      <c r="P492" s="117" t="s">
        <v>112</v>
      </c>
      <c r="Q492" s="163">
        <f t="shared" si="102"/>
        <v>49.728000000000002</v>
      </c>
      <c r="R492" s="161">
        <v>1</v>
      </c>
      <c r="S492" s="163">
        <f t="shared" si="103"/>
        <v>50.728000000000002</v>
      </c>
      <c r="T492" s="165" t="s">
        <v>48</v>
      </c>
    </row>
    <row r="493" spans="3:21" ht="20.25" customHeight="1">
      <c r="C493" s="109"/>
      <c r="D493" s="115">
        <f t="shared" si="100"/>
        <v>493</v>
      </c>
      <c r="E493" s="119" t="s">
        <v>492</v>
      </c>
      <c r="F493" s="121">
        <f t="shared" si="104"/>
        <v>492</v>
      </c>
      <c r="G493" s="118" t="s">
        <v>121</v>
      </c>
      <c r="H493" s="118"/>
      <c r="I493" s="117">
        <v>12</v>
      </c>
      <c r="J493" s="145" t="s">
        <v>493</v>
      </c>
      <c r="K493" s="131">
        <v>1</v>
      </c>
      <c r="L493" s="131" t="s">
        <v>39</v>
      </c>
      <c r="M493" s="141">
        <f>LEFT(J493,SEARCH(" ",J493,1)-1)*K493/1000</f>
        <v>12.31</v>
      </c>
      <c r="N493" s="117" t="s">
        <v>39</v>
      </c>
      <c r="O493" s="175">
        <f>VLOOKUP(I493,BM!$A$2:$X$104,22,FALSE)</f>
        <v>1.6</v>
      </c>
      <c r="P493" s="117" t="s">
        <v>112</v>
      </c>
      <c r="Q493" s="163">
        <f t="shared" si="102"/>
        <v>19.696000000000002</v>
      </c>
      <c r="R493" s="161">
        <v>1</v>
      </c>
      <c r="S493" s="163">
        <f t="shared" si="103"/>
        <v>20.696000000000002</v>
      </c>
      <c r="T493" s="165" t="s">
        <v>48</v>
      </c>
      <c r="U493" s="100">
        <f>(1231*10)</f>
        <v>12310</v>
      </c>
    </row>
    <row r="494" spans="3:21" ht="20.25" customHeight="1">
      <c r="C494" s="109">
        <f>D494</f>
        <v>494</v>
      </c>
      <c r="D494" s="115">
        <f t="shared" si="100"/>
        <v>494</v>
      </c>
      <c r="E494" s="116" t="s">
        <v>771</v>
      </c>
      <c r="F494" s="121">
        <f>D491</f>
        <v>491</v>
      </c>
      <c r="G494" s="118"/>
      <c r="H494" s="118"/>
      <c r="I494" s="117"/>
      <c r="J494" s="117"/>
      <c r="K494" s="131"/>
      <c r="L494" s="131"/>
      <c r="M494" s="132"/>
      <c r="N494" s="117"/>
      <c r="O494" s="133"/>
      <c r="P494" s="117"/>
      <c r="Q494" s="163"/>
      <c r="R494" s="161"/>
      <c r="S494" s="163"/>
      <c r="T494" s="162"/>
    </row>
    <row r="495" spans="3:21" ht="20.25" customHeight="1">
      <c r="C495" s="109"/>
      <c r="D495" s="115">
        <f t="shared" si="100"/>
        <v>495</v>
      </c>
      <c r="E495" s="119" t="s">
        <v>495</v>
      </c>
      <c r="F495" s="121">
        <f t="shared" si="104"/>
        <v>494</v>
      </c>
      <c r="G495" s="118" t="s">
        <v>44</v>
      </c>
      <c r="H495" s="118"/>
      <c r="I495" s="117">
        <v>18</v>
      </c>
      <c r="J495" s="117" t="s">
        <v>496</v>
      </c>
      <c r="K495" s="131">
        <v>1</v>
      </c>
      <c r="L495" s="131" t="s">
        <v>39</v>
      </c>
      <c r="M495" s="132">
        <v>1</v>
      </c>
      <c r="N495" s="117" t="s">
        <v>39</v>
      </c>
      <c r="O495" s="133">
        <v>4</v>
      </c>
      <c r="P495" s="117" t="s">
        <v>112</v>
      </c>
      <c r="Q495" s="163">
        <f t="shared" si="102"/>
        <v>4</v>
      </c>
      <c r="R495" s="161">
        <v>1</v>
      </c>
      <c r="S495" s="163">
        <f t="shared" si="103"/>
        <v>5</v>
      </c>
      <c r="T495" s="165" t="s">
        <v>48</v>
      </c>
    </row>
    <row r="496" spans="3:21" ht="20.25" customHeight="1">
      <c r="C496" s="109"/>
      <c r="D496" s="115">
        <f t="shared" si="100"/>
        <v>496</v>
      </c>
      <c r="E496" s="119" t="s">
        <v>497</v>
      </c>
      <c r="F496" s="121">
        <f t="shared" si="104"/>
        <v>495</v>
      </c>
      <c r="G496" s="118" t="s">
        <v>498</v>
      </c>
      <c r="H496" s="118"/>
      <c r="I496" s="117">
        <v>18</v>
      </c>
      <c r="J496" s="117" t="s">
        <v>499</v>
      </c>
      <c r="K496" s="131">
        <v>1</v>
      </c>
      <c r="L496" s="131" t="s">
        <v>39</v>
      </c>
      <c r="M496" s="132">
        <v>1</v>
      </c>
      <c r="N496" s="117" t="s">
        <v>39</v>
      </c>
      <c r="O496" s="133">
        <v>4</v>
      </c>
      <c r="P496" s="117" t="s">
        <v>112</v>
      </c>
      <c r="Q496" s="163">
        <f t="shared" si="102"/>
        <v>4</v>
      </c>
      <c r="R496" s="161">
        <v>1</v>
      </c>
      <c r="S496" s="163">
        <f t="shared" si="103"/>
        <v>5</v>
      </c>
      <c r="T496" s="165" t="s">
        <v>48</v>
      </c>
    </row>
    <row r="497" spans="3:20" ht="20.25" customHeight="1">
      <c r="C497" s="109"/>
      <c r="D497" s="115">
        <f t="shared" si="100"/>
        <v>497</v>
      </c>
      <c r="E497" s="119" t="s">
        <v>500</v>
      </c>
      <c r="F497" s="121">
        <f t="shared" si="104"/>
        <v>496</v>
      </c>
      <c r="G497" s="118" t="s">
        <v>115</v>
      </c>
      <c r="H497" s="118"/>
      <c r="I497" s="117">
        <v>12</v>
      </c>
      <c r="J497" s="117">
        <v>6</v>
      </c>
      <c r="K497" s="131">
        <v>1</v>
      </c>
      <c r="L497" s="131" t="s">
        <v>39</v>
      </c>
      <c r="M497" s="155">
        <f>J497*K497</f>
        <v>6</v>
      </c>
      <c r="N497" s="117" t="s">
        <v>139</v>
      </c>
      <c r="O497" s="175">
        <f>VLOOKUP(I497,BM!$A$2:$X$104,22,FALSE)</f>
        <v>1.6</v>
      </c>
      <c r="P497" s="117" t="s">
        <v>112</v>
      </c>
      <c r="Q497" s="163">
        <f t="shared" si="102"/>
        <v>9.6000000000000014</v>
      </c>
      <c r="R497" s="161">
        <v>1</v>
      </c>
      <c r="S497" s="163">
        <f t="shared" si="103"/>
        <v>10.600000000000001</v>
      </c>
      <c r="T497" s="165" t="s">
        <v>48</v>
      </c>
    </row>
    <row r="498" spans="3:20" ht="20.25" customHeight="1">
      <c r="C498" s="109">
        <f>D498</f>
        <v>498</v>
      </c>
      <c r="D498" s="115">
        <f t="shared" si="100"/>
        <v>498</v>
      </c>
      <c r="E498" s="116" t="s">
        <v>772</v>
      </c>
      <c r="F498" s="121">
        <f>D494</f>
        <v>494</v>
      </c>
      <c r="G498" s="118"/>
      <c r="H498" s="118"/>
      <c r="I498" s="117"/>
      <c r="J498" s="117"/>
      <c r="K498" s="131"/>
      <c r="L498" s="131"/>
      <c r="M498" s="132"/>
      <c r="N498" s="117"/>
      <c r="O498" s="133"/>
      <c r="P498" s="117"/>
      <c r="Q498" s="163"/>
      <c r="R498" s="161"/>
      <c r="S498" s="163"/>
      <c r="T498" s="162"/>
    </row>
    <row r="499" spans="3:20" ht="20.25" customHeight="1">
      <c r="C499" s="109"/>
      <c r="D499" s="115">
        <f t="shared" si="100"/>
        <v>499</v>
      </c>
      <c r="E499" s="119" t="s">
        <v>502</v>
      </c>
      <c r="F499" s="121">
        <f t="shared" si="104"/>
        <v>498</v>
      </c>
      <c r="G499" s="118" t="s">
        <v>149</v>
      </c>
      <c r="H499" s="118"/>
      <c r="I499" s="117">
        <v>18</v>
      </c>
      <c r="J499" s="117" t="s">
        <v>503</v>
      </c>
      <c r="K499" s="131">
        <v>1</v>
      </c>
      <c r="L499" s="131" t="s">
        <v>39</v>
      </c>
      <c r="M499" s="132">
        <v>1</v>
      </c>
      <c r="N499" s="117" t="s">
        <v>39</v>
      </c>
      <c r="O499" s="133">
        <v>8</v>
      </c>
      <c r="P499" s="117" t="s">
        <v>112</v>
      </c>
      <c r="Q499" s="163">
        <f t="shared" si="102"/>
        <v>8</v>
      </c>
      <c r="R499" s="161">
        <v>1</v>
      </c>
      <c r="S499" s="163">
        <f t="shared" si="103"/>
        <v>9</v>
      </c>
      <c r="T499" s="165" t="s">
        <v>48</v>
      </c>
    </row>
    <row r="500" spans="3:20" ht="20.25" customHeight="1">
      <c r="C500" s="109"/>
      <c r="D500" s="115">
        <f t="shared" si="100"/>
        <v>500</v>
      </c>
      <c r="E500" s="119" t="s">
        <v>504</v>
      </c>
      <c r="F500" s="121">
        <f t="shared" si="104"/>
        <v>499</v>
      </c>
      <c r="G500" s="118" t="s">
        <v>63</v>
      </c>
      <c r="H500" s="118"/>
      <c r="I500" s="117">
        <v>18</v>
      </c>
      <c r="J500" s="117" t="s">
        <v>503</v>
      </c>
      <c r="K500" s="131">
        <v>1</v>
      </c>
      <c r="L500" s="131" t="s">
        <v>39</v>
      </c>
      <c r="M500" s="132">
        <v>1</v>
      </c>
      <c r="N500" s="117" t="s">
        <v>39</v>
      </c>
      <c r="O500" s="133">
        <v>1</v>
      </c>
      <c r="P500" s="117" t="s">
        <v>41</v>
      </c>
      <c r="Q500" s="163">
        <f t="shared" si="102"/>
        <v>1</v>
      </c>
      <c r="R500" s="161"/>
      <c r="S500" s="163">
        <f t="shared" si="103"/>
        <v>1</v>
      </c>
      <c r="T500" s="165" t="str">
        <f>T499</f>
        <v>Hrs</v>
      </c>
    </row>
    <row r="501" spans="3:20" ht="20.25" customHeight="1">
      <c r="C501" s="109">
        <f t="shared" ref="C501:C502" si="105">D501</f>
        <v>501</v>
      </c>
      <c r="D501" s="115">
        <f t="shared" si="100"/>
        <v>501</v>
      </c>
      <c r="E501" s="176" t="s">
        <v>505</v>
      </c>
      <c r="F501" s="121">
        <f>D498</f>
        <v>498</v>
      </c>
      <c r="G501" s="118"/>
      <c r="H501" s="118"/>
      <c r="I501" s="117"/>
      <c r="J501" s="117"/>
      <c r="K501" s="131"/>
      <c r="L501" s="131"/>
      <c r="M501" s="132"/>
      <c r="N501" s="117"/>
      <c r="O501" s="133"/>
      <c r="P501" s="117"/>
      <c r="Q501" s="163"/>
      <c r="R501" s="161"/>
      <c r="S501" s="163"/>
      <c r="T501" s="162"/>
    </row>
    <row r="502" spans="3:20" ht="20.25" customHeight="1">
      <c r="C502" s="109">
        <f t="shared" si="105"/>
        <v>502</v>
      </c>
      <c r="D502" s="115">
        <f t="shared" si="100"/>
        <v>502</v>
      </c>
      <c r="E502" s="116" t="s">
        <v>506</v>
      </c>
      <c r="F502" s="121">
        <f>D7</f>
        <v>7</v>
      </c>
      <c r="G502" s="118"/>
      <c r="H502" s="118"/>
      <c r="I502" s="117"/>
      <c r="J502" s="117"/>
      <c r="K502" s="131">
        <v>1</v>
      </c>
      <c r="L502" s="154" t="s">
        <v>39</v>
      </c>
      <c r="M502" s="132">
        <v>1</v>
      </c>
      <c r="N502" s="145" t="s">
        <v>39</v>
      </c>
      <c r="O502" s="133">
        <v>4</v>
      </c>
      <c r="P502" s="145" t="s">
        <v>41</v>
      </c>
      <c r="Q502" s="163">
        <f t="shared" si="102"/>
        <v>4</v>
      </c>
      <c r="R502" s="161"/>
      <c r="S502" s="163">
        <f t="shared" si="103"/>
        <v>4</v>
      </c>
      <c r="T502" s="165" t="s">
        <v>162</v>
      </c>
    </row>
    <row r="503" spans="3:20" ht="20.25" customHeight="1">
      <c r="C503" s="109"/>
      <c r="D503" s="115">
        <f t="shared" si="100"/>
        <v>503</v>
      </c>
      <c r="E503" s="119" t="s">
        <v>507</v>
      </c>
      <c r="F503" s="121">
        <f t="shared" si="104"/>
        <v>502</v>
      </c>
      <c r="G503" s="118" t="s">
        <v>37</v>
      </c>
      <c r="H503" s="118"/>
      <c r="I503" s="117">
        <v>18</v>
      </c>
      <c r="J503" s="145" t="s">
        <v>508</v>
      </c>
      <c r="K503" s="131">
        <v>1</v>
      </c>
      <c r="L503" s="131" t="s">
        <v>81</v>
      </c>
      <c r="M503" s="141">
        <f>LEFT(J503,SEARCH(" ",J503,1)-1)*K503/1000</f>
        <v>0.373</v>
      </c>
      <c r="N503" s="117" t="s">
        <v>139</v>
      </c>
      <c r="O503" s="175">
        <f>VLOOKUP(I503,BM!$A$2:$X$104,2,FALSE)</f>
        <v>0.1</v>
      </c>
      <c r="P503" s="117" t="s">
        <v>47</v>
      </c>
      <c r="Q503" s="163">
        <f t="shared" si="102"/>
        <v>3.73E-2</v>
      </c>
      <c r="R503" s="161">
        <v>1</v>
      </c>
      <c r="S503" s="163">
        <f t="shared" si="103"/>
        <v>1.0373000000000001</v>
      </c>
      <c r="T503" s="165" t="s">
        <v>162</v>
      </c>
    </row>
    <row r="504" spans="3:20" ht="20.25" customHeight="1">
      <c r="C504" s="109"/>
      <c r="D504" s="115">
        <f t="shared" si="100"/>
        <v>504</v>
      </c>
      <c r="E504" s="119" t="s">
        <v>509</v>
      </c>
      <c r="F504" s="121">
        <f t="shared" si="104"/>
        <v>503</v>
      </c>
      <c r="G504" s="118" t="s">
        <v>201</v>
      </c>
      <c r="H504" s="118"/>
      <c r="I504" s="117">
        <v>18</v>
      </c>
      <c r="J504" s="145" t="s">
        <v>510</v>
      </c>
      <c r="K504" s="131">
        <v>1</v>
      </c>
      <c r="L504" s="131" t="s">
        <v>81</v>
      </c>
      <c r="M504" s="141">
        <f t="shared" ref="M504:M508" si="106">LEFT(J504,SEARCH(" ",J504,1)-1)*K504/1000</f>
        <v>11.3</v>
      </c>
      <c r="N504" s="117" t="s">
        <v>139</v>
      </c>
      <c r="O504" s="175">
        <f>VLOOKUP(I504,BM!$A$2:$X$104,3,FALSE)</f>
        <v>0.25</v>
      </c>
      <c r="P504" s="117" t="s">
        <v>47</v>
      </c>
      <c r="Q504" s="163">
        <f t="shared" si="102"/>
        <v>2.8250000000000002</v>
      </c>
      <c r="R504" s="161">
        <v>1</v>
      </c>
      <c r="S504" s="163">
        <f t="shared" si="103"/>
        <v>3.8250000000000002</v>
      </c>
      <c r="T504" s="165" t="s">
        <v>162</v>
      </c>
    </row>
    <row r="505" spans="3:20" ht="20.25" customHeight="1">
      <c r="C505" s="109"/>
      <c r="D505" s="115">
        <f t="shared" si="100"/>
        <v>505</v>
      </c>
      <c r="E505" s="119" t="s">
        <v>511</v>
      </c>
      <c r="F505" s="121">
        <f t="shared" si="104"/>
        <v>504</v>
      </c>
      <c r="G505" s="118" t="s">
        <v>52</v>
      </c>
      <c r="H505" s="118"/>
      <c r="I505" s="117">
        <v>18</v>
      </c>
      <c r="J505" s="117" t="str">
        <f t="shared" ref="J505:J508" si="107">J504</f>
        <v>11300 mm</v>
      </c>
      <c r="K505" s="131">
        <v>1</v>
      </c>
      <c r="L505" s="131" t="s">
        <v>81</v>
      </c>
      <c r="M505" s="141">
        <f t="shared" si="106"/>
        <v>11.3</v>
      </c>
      <c r="N505" s="117" t="s">
        <v>139</v>
      </c>
      <c r="O505" s="175">
        <f>VLOOKUP(I505,BM!$A$2:$X$104,4,FALSE)</f>
        <v>0.15</v>
      </c>
      <c r="P505" s="117" t="s">
        <v>47</v>
      </c>
      <c r="Q505" s="163">
        <f t="shared" si="102"/>
        <v>1.6950000000000001</v>
      </c>
      <c r="R505" s="161">
        <v>1</v>
      </c>
      <c r="S505" s="163">
        <f t="shared" si="103"/>
        <v>2.6950000000000003</v>
      </c>
      <c r="T505" s="165" t="s">
        <v>162</v>
      </c>
    </row>
    <row r="506" spans="3:20" ht="20.25" customHeight="1">
      <c r="C506" s="109"/>
      <c r="D506" s="115">
        <f t="shared" si="100"/>
        <v>506</v>
      </c>
      <c r="E506" s="119" t="s">
        <v>512</v>
      </c>
      <c r="F506" s="121">
        <f t="shared" si="104"/>
        <v>505</v>
      </c>
      <c r="G506" s="118" t="s">
        <v>61</v>
      </c>
      <c r="H506" s="118"/>
      <c r="I506" s="117">
        <v>18</v>
      </c>
      <c r="J506" s="117" t="str">
        <f t="shared" si="107"/>
        <v>11300 mm</v>
      </c>
      <c r="K506" s="131">
        <v>1</v>
      </c>
      <c r="L506" s="131" t="s">
        <v>81</v>
      </c>
      <c r="M506" s="141">
        <f t="shared" si="106"/>
        <v>11.3</v>
      </c>
      <c r="N506" s="117" t="s">
        <v>139</v>
      </c>
      <c r="O506" s="175">
        <f>VLOOKUP(I506,BM!$A$2:$X$104,5,FALSE)</f>
        <v>0.5</v>
      </c>
      <c r="P506" s="117" t="s">
        <v>47</v>
      </c>
      <c r="Q506" s="163">
        <f t="shared" si="102"/>
        <v>5.65</v>
      </c>
      <c r="R506" s="161">
        <v>1</v>
      </c>
      <c r="S506" s="163">
        <f t="shared" si="103"/>
        <v>6.65</v>
      </c>
      <c r="T506" s="165" t="s">
        <v>162</v>
      </c>
    </row>
    <row r="507" spans="3:20" ht="20.25" customHeight="1">
      <c r="C507" s="109"/>
      <c r="D507" s="115">
        <f t="shared" si="100"/>
        <v>507</v>
      </c>
      <c r="E507" s="119" t="s">
        <v>513</v>
      </c>
      <c r="F507" s="121">
        <f t="shared" si="104"/>
        <v>506</v>
      </c>
      <c r="G507" s="118" t="s">
        <v>224</v>
      </c>
      <c r="H507" s="118"/>
      <c r="I507" s="117">
        <v>18</v>
      </c>
      <c r="J507" s="117" t="str">
        <f t="shared" si="107"/>
        <v>11300 mm</v>
      </c>
      <c r="K507" s="131">
        <v>1</v>
      </c>
      <c r="L507" s="131" t="s">
        <v>81</v>
      </c>
      <c r="M507" s="141">
        <f t="shared" si="106"/>
        <v>11.3</v>
      </c>
      <c r="N507" s="117" t="s">
        <v>139</v>
      </c>
      <c r="O507" s="175">
        <f>VLOOKUP(I507,BM!$A$2:$X$104,6,FALSE)</f>
        <v>1</v>
      </c>
      <c r="P507" s="117" t="s">
        <v>47</v>
      </c>
      <c r="Q507" s="163">
        <f t="shared" si="102"/>
        <v>11.3</v>
      </c>
      <c r="R507" s="161">
        <v>1</v>
      </c>
      <c r="S507" s="163">
        <f t="shared" si="103"/>
        <v>12.3</v>
      </c>
      <c r="T507" s="165" t="s">
        <v>162</v>
      </c>
    </row>
    <row r="508" spans="3:20" ht="20.25" customHeight="1">
      <c r="C508" s="109"/>
      <c r="D508" s="115">
        <f t="shared" si="100"/>
        <v>508</v>
      </c>
      <c r="E508" s="119" t="s">
        <v>416</v>
      </c>
      <c r="F508" s="121">
        <f t="shared" si="104"/>
        <v>507</v>
      </c>
      <c r="G508" s="118" t="s">
        <v>61</v>
      </c>
      <c r="H508" s="118"/>
      <c r="I508" s="117">
        <v>18</v>
      </c>
      <c r="J508" s="117" t="str">
        <f t="shared" si="107"/>
        <v>11300 mm</v>
      </c>
      <c r="K508" s="131">
        <v>1</v>
      </c>
      <c r="L508" s="131" t="s">
        <v>81</v>
      </c>
      <c r="M508" s="141">
        <f t="shared" si="106"/>
        <v>11.3</v>
      </c>
      <c r="N508" s="117" t="s">
        <v>139</v>
      </c>
      <c r="O508" s="175">
        <f>VLOOKUP(I508,BM!$A$2:$X$104,6,FALSE)</f>
        <v>1</v>
      </c>
      <c r="P508" s="117" t="s">
        <v>47</v>
      </c>
      <c r="Q508" s="163">
        <f t="shared" si="102"/>
        <v>11.3</v>
      </c>
      <c r="R508" s="161">
        <v>1</v>
      </c>
      <c r="S508" s="163">
        <f t="shared" si="103"/>
        <v>12.3</v>
      </c>
      <c r="T508" s="165" t="s">
        <v>162</v>
      </c>
    </row>
    <row r="509" spans="3:20" ht="20.25" customHeight="1">
      <c r="C509" s="109">
        <f>D509</f>
        <v>509</v>
      </c>
      <c r="D509" s="115">
        <f t="shared" si="100"/>
        <v>509</v>
      </c>
      <c r="E509" s="116" t="s">
        <v>773</v>
      </c>
      <c r="F509" s="121">
        <f>D502</f>
        <v>502</v>
      </c>
      <c r="G509" s="118"/>
      <c r="H509" s="118"/>
      <c r="I509" s="117"/>
      <c r="J509" s="117"/>
      <c r="K509" s="131"/>
      <c r="L509" s="131"/>
      <c r="M509" s="132"/>
      <c r="N509" s="117"/>
      <c r="O509" s="133"/>
      <c r="P509" s="117"/>
      <c r="Q509" s="163"/>
      <c r="R509" s="161"/>
      <c r="S509" s="163"/>
      <c r="T509" s="162"/>
    </row>
    <row r="510" spans="3:20" ht="20.25" customHeight="1">
      <c r="C510" s="109"/>
      <c r="D510" s="115">
        <f t="shared" si="100"/>
        <v>510</v>
      </c>
      <c r="E510" s="119" t="s">
        <v>515</v>
      </c>
      <c r="F510" s="121">
        <f t="shared" si="104"/>
        <v>509</v>
      </c>
      <c r="G510" s="118" t="s">
        <v>286</v>
      </c>
      <c r="H510" s="118"/>
      <c r="I510" s="121">
        <f>I508</f>
        <v>18</v>
      </c>
      <c r="J510" s="125" t="s">
        <v>516</v>
      </c>
      <c r="K510" s="131">
        <v>1</v>
      </c>
      <c r="L510" s="131" t="s">
        <v>81</v>
      </c>
      <c r="M510" s="132">
        <v>1</v>
      </c>
      <c r="N510" s="117" t="s">
        <v>139</v>
      </c>
      <c r="O510" s="133">
        <v>3</v>
      </c>
      <c r="P510" s="117" t="s">
        <v>112</v>
      </c>
      <c r="Q510" s="163">
        <f t="shared" si="102"/>
        <v>3</v>
      </c>
      <c r="R510" s="161">
        <v>1</v>
      </c>
      <c r="S510" s="163">
        <f t="shared" si="103"/>
        <v>4</v>
      </c>
      <c r="T510" s="165" t="s">
        <v>162</v>
      </c>
    </row>
    <row r="511" spans="3:20" ht="20.25" customHeight="1">
      <c r="C511" s="109"/>
      <c r="D511" s="115">
        <f t="shared" si="100"/>
        <v>511</v>
      </c>
      <c r="E511" s="119" t="s">
        <v>517</v>
      </c>
      <c r="F511" s="121">
        <f t="shared" si="104"/>
        <v>510</v>
      </c>
      <c r="G511" s="118" t="s">
        <v>420</v>
      </c>
      <c r="H511" s="118"/>
      <c r="I511" s="121">
        <f t="shared" ref="I511:J513" si="108">I510</f>
        <v>18</v>
      </c>
      <c r="J511" s="121" t="str">
        <f t="shared" si="108"/>
        <v>1664 mm id</v>
      </c>
      <c r="K511" s="131">
        <v>1</v>
      </c>
      <c r="L511" s="131" t="s">
        <v>81</v>
      </c>
      <c r="M511" s="141">
        <f>LEFT(J511,SEARCH(" ",J511,1)-1)*K511*2/1000</f>
        <v>3.3279999999999998</v>
      </c>
      <c r="N511" s="145" t="s">
        <v>39</v>
      </c>
      <c r="O511" s="175">
        <f>VLOOKUP(I511,BM!$A$2:$X$104,8,FALSE)</f>
        <v>0.3</v>
      </c>
      <c r="P511" s="117" t="s">
        <v>112</v>
      </c>
      <c r="Q511" s="163">
        <f t="shared" si="102"/>
        <v>0.99839999999999995</v>
      </c>
      <c r="R511" s="161">
        <v>1</v>
      </c>
      <c r="S511" s="163">
        <f t="shared" si="103"/>
        <v>1.9984</v>
      </c>
      <c r="T511" s="165" t="s">
        <v>162</v>
      </c>
    </row>
    <row r="512" spans="3:20" ht="20.25" customHeight="1">
      <c r="C512" s="109"/>
      <c r="D512" s="115">
        <f t="shared" si="100"/>
        <v>512</v>
      </c>
      <c r="E512" s="119" t="s">
        <v>518</v>
      </c>
      <c r="F512" s="121">
        <f t="shared" si="104"/>
        <v>511</v>
      </c>
      <c r="G512" s="118" t="s">
        <v>348</v>
      </c>
      <c r="H512" s="118"/>
      <c r="I512" s="121">
        <f t="shared" si="108"/>
        <v>18</v>
      </c>
      <c r="J512" s="121" t="str">
        <f t="shared" si="108"/>
        <v>1664 mm id</v>
      </c>
      <c r="K512" s="131">
        <v>1</v>
      </c>
      <c r="L512" s="131" t="s">
        <v>81</v>
      </c>
      <c r="M512" s="141">
        <f>LEFT(J512,SEARCH(" ",J512,1)-1)*K512*2/1000</f>
        <v>3.3279999999999998</v>
      </c>
      <c r="N512" s="117" t="s">
        <v>139</v>
      </c>
      <c r="O512" s="175">
        <f>VLOOKUP(I512,BM!$A$2:$X$104,9,FALSE)</f>
        <v>1</v>
      </c>
      <c r="P512" s="117" t="s">
        <v>112</v>
      </c>
      <c r="Q512" s="163">
        <f t="shared" si="102"/>
        <v>3.3279999999999998</v>
      </c>
      <c r="R512" s="161">
        <v>1</v>
      </c>
      <c r="S512" s="163">
        <f t="shared" si="103"/>
        <v>4.3279999999999994</v>
      </c>
      <c r="T512" s="165" t="s">
        <v>162</v>
      </c>
    </row>
    <row r="513" spans="3:20" ht="20.25" customHeight="1">
      <c r="C513" s="109"/>
      <c r="D513" s="115">
        <f t="shared" si="100"/>
        <v>513</v>
      </c>
      <c r="E513" s="119" t="s">
        <v>519</v>
      </c>
      <c r="F513" s="121">
        <f t="shared" si="104"/>
        <v>512</v>
      </c>
      <c r="G513" s="118" t="s">
        <v>286</v>
      </c>
      <c r="H513" s="118"/>
      <c r="I513" s="121">
        <f t="shared" si="108"/>
        <v>18</v>
      </c>
      <c r="J513" s="121" t="str">
        <f t="shared" si="108"/>
        <v>1664 mm id</v>
      </c>
      <c r="K513" s="131">
        <v>1</v>
      </c>
      <c r="L513" s="131" t="s">
        <v>81</v>
      </c>
      <c r="M513" s="141">
        <v>1</v>
      </c>
      <c r="N513" s="145" t="s">
        <v>39</v>
      </c>
      <c r="O513" s="133">
        <v>3</v>
      </c>
      <c r="P513" s="117" t="s">
        <v>112</v>
      </c>
      <c r="Q513" s="163">
        <f t="shared" si="102"/>
        <v>3</v>
      </c>
      <c r="R513" s="161">
        <v>1</v>
      </c>
      <c r="S513" s="163">
        <f t="shared" si="103"/>
        <v>4</v>
      </c>
      <c r="T513" s="165" t="s">
        <v>162</v>
      </c>
    </row>
    <row r="514" spans="3:20" ht="20.25" customHeight="1">
      <c r="C514" s="109">
        <f>D514</f>
        <v>514</v>
      </c>
      <c r="D514" s="115">
        <f t="shared" si="100"/>
        <v>514</v>
      </c>
      <c r="E514" s="116" t="s">
        <v>520</v>
      </c>
      <c r="F514" s="121">
        <f>D509</f>
        <v>509</v>
      </c>
      <c r="G514" s="118"/>
      <c r="H514" s="118"/>
      <c r="I514" s="117"/>
      <c r="J514" s="117"/>
      <c r="K514" s="131"/>
      <c r="L514" s="131"/>
      <c r="M514" s="132"/>
      <c r="N514" s="117"/>
      <c r="O514" s="133"/>
      <c r="P514" s="117"/>
      <c r="Q514" s="163"/>
      <c r="R514" s="161"/>
      <c r="S514" s="163"/>
      <c r="T514" s="162"/>
    </row>
    <row r="515" spans="3:20" ht="20.25" customHeight="1">
      <c r="C515" s="109"/>
      <c r="D515" s="115">
        <f t="shared" ref="D515:D578" si="109">D514+1</f>
        <v>515</v>
      </c>
      <c r="E515" s="119" t="s">
        <v>521</v>
      </c>
      <c r="F515" s="121">
        <f t="shared" si="104"/>
        <v>514</v>
      </c>
      <c r="G515" s="118" t="s">
        <v>348</v>
      </c>
      <c r="H515" s="118"/>
      <c r="I515" s="121">
        <f>I513</f>
        <v>18</v>
      </c>
      <c r="J515" s="121" t="str">
        <f>J513</f>
        <v>1664 mm id</v>
      </c>
      <c r="K515" s="131">
        <v>1</v>
      </c>
      <c r="L515" s="131" t="s">
        <v>81</v>
      </c>
      <c r="M515" s="141">
        <f t="shared" ref="M515" si="110">LEFT(J515,SEARCH(" ",J515,1)-1)*K515*2/1000</f>
        <v>3.3279999999999998</v>
      </c>
      <c r="N515" s="117" t="s">
        <v>139</v>
      </c>
      <c r="O515" s="175">
        <f>VLOOKUP(I515,BM!$A$2:$X$104,9,FALSE)</f>
        <v>1</v>
      </c>
      <c r="P515" s="117" t="s">
        <v>112</v>
      </c>
      <c r="Q515" s="163">
        <f t="shared" si="102"/>
        <v>3.3279999999999998</v>
      </c>
      <c r="R515" s="161">
        <v>1</v>
      </c>
      <c r="S515" s="163">
        <f t="shared" si="103"/>
        <v>4.3279999999999994</v>
      </c>
      <c r="T515" s="165" t="s">
        <v>162</v>
      </c>
    </row>
    <row r="516" spans="3:20" ht="20.25" customHeight="1">
      <c r="C516" s="109"/>
      <c r="D516" s="115">
        <f t="shared" si="109"/>
        <v>516</v>
      </c>
      <c r="E516" s="119" t="s">
        <v>522</v>
      </c>
      <c r="F516" s="121">
        <f t="shared" si="104"/>
        <v>515</v>
      </c>
      <c r="G516" s="118" t="s">
        <v>111</v>
      </c>
      <c r="H516" s="118"/>
      <c r="I516" s="121">
        <f>I515</f>
        <v>18</v>
      </c>
      <c r="J516" s="121" t="str">
        <f>J513</f>
        <v>1664 mm id</v>
      </c>
      <c r="K516" s="131">
        <v>1</v>
      </c>
      <c r="L516" s="131" t="s">
        <v>81</v>
      </c>
      <c r="M516" s="141">
        <f>LEFT(J516,SEARCH(" ",J516,1)-1)*K516/1000</f>
        <v>1.6639999999999999</v>
      </c>
      <c r="N516" s="117" t="s">
        <v>139</v>
      </c>
      <c r="O516" s="175">
        <f>VLOOKUP(I516,BM!$A$2:$X$104,10,FALSE)</f>
        <v>1</v>
      </c>
      <c r="P516" s="117" t="s">
        <v>112</v>
      </c>
      <c r="Q516" s="163">
        <f t="shared" si="102"/>
        <v>1.6639999999999999</v>
      </c>
      <c r="R516" s="161">
        <v>1</v>
      </c>
      <c r="S516" s="163">
        <f t="shared" si="103"/>
        <v>2.6639999999999997</v>
      </c>
      <c r="T516" s="165" t="s">
        <v>162</v>
      </c>
    </row>
    <row r="517" spans="3:20" ht="20.25" customHeight="1">
      <c r="C517" s="109">
        <f>D517</f>
        <v>517</v>
      </c>
      <c r="D517" s="115">
        <f t="shared" si="109"/>
        <v>517</v>
      </c>
      <c r="E517" s="116" t="s">
        <v>523</v>
      </c>
      <c r="F517" s="121">
        <f>D514</f>
        <v>514</v>
      </c>
      <c r="G517" s="118"/>
      <c r="H517" s="118"/>
      <c r="I517" s="117"/>
      <c r="J517" s="117"/>
      <c r="K517" s="131"/>
      <c r="L517" s="131"/>
      <c r="M517" s="132"/>
      <c r="N517" s="117"/>
      <c r="O517" s="133"/>
      <c r="P517" s="117"/>
      <c r="Q517" s="163"/>
      <c r="R517" s="161"/>
      <c r="S517" s="163"/>
      <c r="T517" s="162"/>
    </row>
    <row r="518" spans="3:20" ht="20.25" customHeight="1">
      <c r="C518" s="109"/>
      <c r="D518" s="115">
        <f t="shared" si="109"/>
        <v>518</v>
      </c>
      <c r="E518" s="119" t="s">
        <v>524</v>
      </c>
      <c r="F518" s="121">
        <f t="shared" si="104"/>
        <v>517</v>
      </c>
      <c r="G518" s="118" t="s">
        <v>201</v>
      </c>
      <c r="H518" s="118"/>
      <c r="I518" s="121">
        <f>I516</f>
        <v>18</v>
      </c>
      <c r="J518" s="121" t="str">
        <f t="shared" ref="J518" si="111">J516</f>
        <v>1664 mm id</v>
      </c>
      <c r="K518" s="131">
        <v>1</v>
      </c>
      <c r="L518" s="131" t="s">
        <v>81</v>
      </c>
      <c r="M518" s="132">
        <v>1</v>
      </c>
      <c r="N518" s="117" t="s">
        <v>39</v>
      </c>
      <c r="O518" s="133">
        <v>1</v>
      </c>
      <c r="P518" s="117" t="s">
        <v>112</v>
      </c>
      <c r="Q518" s="163">
        <f t="shared" si="102"/>
        <v>1</v>
      </c>
      <c r="R518" s="161">
        <v>1</v>
      </c>
      <c r="S518" s="163">
        <f t="shared" si="103"/>
        <v>2</v>
      </c>
      <c r="T518" s="165" t="s">
        <v>162</v>
      </c>
    </row>
    <row r="519" spans="3:20" ht="20.25" customHeight="1">
      <c r="C519" s="109"/>
      <c r="D519" s="115">
        <f t="shared" si="109"/>
        <v>519</v>
      </c>
      <c r="E519" s="119" t="s">
        <v>525</v>
      </c>
      <c r="F519" s="121">
        <f t="shared" si="104"/>
        <v>518</v>
      </c>
      <c r="G519" s="118" t="s">
        <v>115</v>
      </c>
      <c r="H519" s="118"/>
      <c r="I519" s="117">
        <v>12</v>
      </c>
      <c r="J519" s="121" t="str">
        <f t="shared" ref="J519:J523" si="112">J518</f>
        <v>1664 mm id</v>
      </c>
      <c r="K519" s="131">
        <v>1</v>
      </c>
      <c r="L519" s="131" t="s">
        <v>81</v>
      </c>
      <c r="M519" s="141">
        <f t="shared" ref="M519:M522" si="113">LEFT(J519,SEARCH(" ",J519,1)-1)*K519/1000</f>
        <v>1.6639999999999999</v>
      </c>
      <c r="N519" s="117" t="s">
        <v>139</v>
      </c>
      <c r="O519" s="175">
        <f>VLOOKUP(I519,BM!$A$2:$X$104,12,FALSE)</f>
        <v>2.5</v>
      </c>
      <c r="P519" s="117" t="s">
        <v>112</v>
      </c>
      <c r="Q519" s="163">
        <f t="shared" si="102"/>
        <v>4.16</v>
      </c>
      <c r="R519" s="161">
        <v>1</v>
      </c>
      <c r="S519" s="163">
        <f t="shared" si="103"/>
        <v>5.16</v>
      </c>
      <c r="T519" s="165" t="s">
        <v>162</v>
      </c>
    </row>
    <row r="520" spans="3:20" ht="20.25" customHeight="1">
      <c r="C520" s="109"/>
      <c r="D520" s="115">
        <f t="shared" si="109"/>
        <v>520</v>
      </c>
      <c r="E520" s="119" t="s">
        <v>526</v>
      </c>
      <c r="F520" s="121">
        <f t="shared" si="104"/>
        <v>519</v>
      </c>
      <c r="G520" s="118" t="s">
        <v>121</v>
      </c>
      <c r="H520" s="118"/>
      <c r="I520" s="117">
        <v>18</v>
      </c>
      <c r="J520" s="121" t="str">
        <f t="shared" si="112"/>
        <v>1664 mm id</v>
      </c>
      <c r="K520" s="131">
        <v>1</v>
      </c>
      <c r="L520" s="131" t="s">
        <v>81</v>
      </c>
      <c r="M520" s="141">
        <f t="shared" si="113"/>
        <v>1.6639999999999999</v>
      </c>
      <c r="N520" s="117" t="s">
        <v>139</v>
      </c>
      <c r="O520" s="175">
        <f>VLOOKUP(I520,BM!$A$2:$X$104,18,FALSE)</f>
        <v>1</v>
      </c>
      <c r="P520" s="117" t="s">
        <v>112</v>
      </c>
      <c r="Q520" s="163">
        <f t="shared" si="102"/>
        <v>1.6639999999999999</v>
      </c>
      <c r="R520" s="161">
        <v>1</v>
      </c>
      <c r="S520" s="163">
        <f t="shared" si="103"/>
        <v>2.6639999999999997</v>
      </c>
      <c r="T520" s="165" t="s">
        <v>162</v>
      </c>
    </row>
    <row r="521" spans="3:20" ht="20.25" customHeight="1">
      <c r="C521" s="109"/>
      <c r="D521" s="115">
        <f t="shared" si="109"/>
        <v>521</v>
      </c>
      <c r="E521" s="119" t="s">
        <v>527</v>
      </c>
      <c r="F521" s="121">
        <f t="shared" si="104"/>
        <v>520</v>
      </c>
      <c r="G521" s="118" t="s">
        <v>115</v>
      </c>
      <c r="H521" s="118"/>
      <c r="I521" s="117">
        <v>6</v>
      </c>
      <c r="J521" s="121" t="str">
        <f t="shared" si="112"/>
        <v>1664 mm id</v>
      </c>
      <c r="K521" s="131">
        <v>1</v>
      </c>
      <c r="L521" s="131" t="s">
        <v>81</v>
      </c>
      <c r="M521" s="141">
        <f t="shared" si="113"/>
        <v>1.6639999999999999</v>
      </c>
      <c r="N521" s="117" t="s">
        <v>139</v>
      </c>
      <c r="O521" s="175">
        <f>VLOOKUP(I521,BM!$A$2:$X$104,12,FALSE)</f>
        <v>0.9</v>
      </c>
      <c r="P521" s="117" t="s">
        <v>112</v>
      </c>
      <c r="Q521" s="163">
        <f t="shared" si="102"/>
        <v>1.4976</v>
      </c>
      <c r="R521" s="161">
        <v>1</v>
      </c>
      <c r="S521" s="163">
        <f t="shared" si="103"/>
        <v>2.4976000000000003</v>
      </c>
      <c r="T521" s="165" t="s">
        <v>162</v>
      </c>
    </row>
    <row r="522" spans="3:20" ht="20.25" customHeight="1">
      <c r="C522" s="109"/>
      <c r="D522" s="115">
        <f t="shared" si="109"/>
        <v>522</v>
      </c>
      <c r="E522" s="119" t="s">
        <v>528</v>
      </c>
      <c r="F522" s="121">
        <f t="shared" si="104"/>
        <v>521</v>
      </c>
      <c r="G522" s="118" t="s">
        <v>61</v>
      </c>
      <c r="H522" s="118"/>
      <c r="I522" s="117">
        <v>6</v>
      </c>
      <c r="J522" s="121" t="str">
        <f t="shared" si="112"/>
        <v>1664 mm id</v>
      </c>
      <c r="K522" s="131">
        <v>1</v>
      </c>
      <c r="L522" s="131" t="s">
        <v>81</v>
      </c>
      <c r="M522" s="141">
        <f t="shared" si="113"/>
        <v>1.6639999999999999</v>
      </c>
      <c r="N522" s="117" t="s">
        <v>139</v>
      </c>
      <c r="O522" s="175">
        <f>VLOOKUP(I522,BM!$A$2:$X$104,20,FALSE)</f>
        <v>0.5</v>
      </c>
      <c r="P522" s="117" t="s">
        <v>112</v>
      </c>
      <c r="Q522" s="163">
        <f t="shared" si="102"/>
        <v>0.83199999999999996</v>
      </c>
      <c r="R522" s="161">
        <v>1</v>
      </c>
      <c r="S522" s="163">
        <f t="shared" si="103"/>
        <v>1.8319999999999999</v>
      </c>
      <c r="T522" s="165" t="s">
        <v>162</v>
      </c>
    </row>
    <row r="523" spans="3:20" ht="20.25" customHeight="1">
      <c r="C523" s="109"/>
      <c r="D523" s="115">
        <f t="shared" si="109"/>
        <v>523</v>
      </c>
      <c r="E523" s="119" t="s">
        <v>529</v>
      </c>
      <c r="F523" s="121">
        <f t="shared" si="104"/>
        <v>522</v>
      </c>
      <c r="G523" s="118" t="s">
        <v>286</v>
      </c>
      <c r="H523" s="118"/>
      <c r="I523" s="117">
        <v>18</v>
      </c>
      <c r="J523" s="121" t="str">
        <f t="shared" si="112"/>
        <v>1664 mm id</v>
      </c>
      <c r="K523" s="131">
        <v>1</v>
      </c>
      <c r="L523" s="131" t="s">
        <v>81</v>
      </c>
      <c r="M523" s="132">
        <v>1</v>
      </c>
      <c r="N523" s="117" t="s">
        <v>139</v>
      </c>
      <c r="O523" s="133">
        <v>3</v>
      </c>
      <c r="P523" s="117" t="s">
        <v>112</v>
      </c>
      <c r="Q523" s="163">
        <f t="shared" si="102"/>
        <v>3</v>
      </c>
      <c r="R523" s="161">
        <v>1</v>
      </c>
      <c r="S523" s="163">
        <f t="shared" si="103"/>
        <v>4</v>
      </c>
      <c r="T523" s="165" t="s">
        <v>162</v>
      </c>
    </row>
    <row r="524" spans="3:20" ht="20.25" customHeight="1">
      <c r="C524" s="109">
        <f>D524</f>
        <v>524</v>
      </c>
      <c r="D524" s="115">
        <f t="shared" si="109"/>
        <v>524</v>
      </c>
      <c r="E524" s="116" t="s">
        <v>530</v>
      </c>
      <c r="F524" s="121">
        <f>D517</f>
        <v>517</v>
      </c>
      <c r="G524" s="118"/>
      <c r="H524" s="118"/>
      <c r="I524" s="117"/>
      <c r="J524" s="117"/>
      <c r="K524" s="131"/>
      <c r="L524" s="131"/>
      <c r="M524" s="132"/>
      <c r="N524" s="117"/>
      <c r="O524" s="133"/>
      <c r="P524" s="117"/>
      <c r="Q524" s="163"/>
      <c r="R524" s="161"/>
      <c r="S524" s="163"/>
      <c r="T524" s="162"/>
    </row>
    <row r="525" spans="3:20" ht="20.25" customHeight="1">
      <c r="C525" s="109"/>
      <c r="D525" s="115">
        <f t="shared" si="109"/>
        <v>525</v>
      </c>
      <c r="E525" s="119" t="s">
        <v>531</v>
      </c>
      <c r="F525" s="121">
        <f t="shared" si="104"/>
        <v>524</v>
      </c>
      <c r="G525" s="118" t="s">
        <v>312</v>
      </c>
      <c r="H525" s="118"/>
      <c r="I525" s="121">
        <f>I523</f>
        <v>18</v>
      </c>
      <c r="J525" s="121" t="str">
        <f t="shared" ref="J525:M525" si="114">J523</f>
        <v>1664 mm id</v>
      </c>
      <c r="K525" s="177">
        <f t="shared" si="114"/>
        <v>1</v>
      </c>
      <c r="L525" s="177" t="str">
        <f t="shared" si="114"/>
        <v>Nos</v>
      </c>
      <c r="M525" s="121">
        <f t="shared" si="114"/>
        <v>1</v>
      </c>
      <c r="N525" s="117" t="s">
        <v>39</v>
      </c>
      <c r="O525" s="133">
        <v>1</v>
      </c>
      <c r="P525" s="117" t="s">
        <v>41</v>
      </c>
      <c r="Q525" s="163">
        <f t="shared" si="102"/>
        <v>1</v>
      </c>
      <c r="R525" s="121"/>
      <c r="S525" s="163">
        <f t="shared" si="103"/>
        <v>1</v>
      </c>
      <c r="T525" s="145" t="s">
        <v>41</v>
      </c>
    </row>
    <row r="526" spans="3:20" ht="20.25" customHeight="1">
      <c r="C526" s="109">
        <f>D526</f>
        <v>526</v>
      </c>
      <c r="D526" s="115">
        <f t="shared" si="109"/>
        <v>526</v>
      </c>
      <c r="E526" s="116" t="s">
        <v>532</v>
      </c>
      <c r="F526" s="121">
        <f>D524</f>
        <v>524</v>
      </c>
      <c r="G526" s="118"/>
      <c r="H526" s="118"/>
      <c r="I526" s="117"/>
      <c r="J526" s="117"/>
      <c r="K526" s="131"/>
      <c r="L526" s="131"/>
      <c r="M526" s="132"/>
      <c r="N526" s="117"/>
      <c r="O526" s="133"/>
      <c r="P526" s="117"/>
      <c r="Q526" s="163"/>
      <c r="R526" s="161"/>
      <c r="S526" s="163"/>
      <c r="T526" s="162"/>
    </row>
    <row r="527" spans="3:20" ht="20.25" customHeight="1">
      <c r="C527" s="109"/>
      <c r="D527" s="115">
        <f t="shared" si="109"/>
        <v>527</v>
      </c>
      <c r="E527" s="119" t="s">
        <v>533</v>
      </c>
      <c r="F527" s="121">
        <f t="shared" si="104"/>
        <v>526</v>
      </c>
      <c r="G527" s="118" t="s">
        <v>348</v>
      </c>
      <c r="H527" s="118"/>
      <c r="I527" s="117">
        <v>18</v>
      </c>
      <c r="J527" s="121" t="str">
        <f>J525</f>
        <v>1664 mm id</v>
      </c>
      <c r="K527" s="131">
        <v>1</v>
      </c>
      <c r="L527" s="131" t="s">
        <v>81</v>
      </c>
      <c r="M527" s="141">
        <f>LEFT(J527,SEARCH(" ",J527,1)-1)*K527*3.142/1000</f>
        <v>5.2282879999999992</v>
      </c>
      <c r="N527" s="117" t="s">
        <v>139</v>
      </c>
      <c r="O527" s="175">
        <f>VLOOKUP(I527,BM!$A$2:$X$104,15,FALSE)</f>
        <v>1</v>
      </c>
      <c r="P527" s="117" t="s">
        <v>112</v>
      </c>
      <c r="Q527" s="163">
        <f t="shared" si="102"/>
        <v>5.2282879999999992</v>
      </c>
      <c r="R527" s="161">
        <v>1</v>
      </c>
      <c r="S527" s="163">
        <f t="shared" si="103"/>
        <v>6.2282879999999992</v>
      </c>
      <c r="T527" s="165" t="s">
        <v>48</v>
      </c>
    </row>
    <row r="528" spans="3:20" ht="20.25" customHeight="1">
      <c r="C528" s="109"/>
      <c r="D528" s="115">
        <f t="shared" si="109"/>
        <v>528</v>
      </c>
      <c r="E528" s="119" t="s">
        <v>534</v>
      </c>
      <c r="F528" s="121">
        <f t="shared" si="104"/>
        <v>527</v>
      </c>
      <c r="G528" s="118" t="s">
        <v>111</v>
      </c>
      <c r="H528" s="118"/>
      <c r="I528" s="117">
        <v>18</v>
      </c>
      <c r="J528" s="121" t="str">
        <f>J527</f>
        <v>1664 mm id</v>
      </c>
      <c r="K528" s="131">
        <v>1</v>
      </c>
      <c r="L528" s="131" t="s">
        <v>81</v>
      </c>
      <c r="M528" s="141">
        <f>LEFT(J528,SEARCH(" ",J528,1)-1)*K528*3.142/1000</f>
        <v>5.2282879999999992</v>
      </c>
      <c r="N528" s="145" t="s">
        <v>39</v>
      </c>
      <c r="O528" s="175">
        <f>VLOOKUP(I528,BM!$A$2:$X$104,16,FALSE)</f>
        <v>1</v>
      </c>
      <c r="P528" s="117" t="s">
        <v>112</v>
      </c>
      <c r="Q528" s="163">
        <f t="shared" si="102"/>
        <v>5.2282879999999992</v>
      </c>
      <c r="R528" s="161">
        <v>1</v>
      </c>
      <c r="S528" s="163">
        <f t="shared" si="103"/>
        <v>6.2282879999999992</v>
      </c>
      <c r="T528" s="165" t="s">
        <v>48</v>
      </c>
    </row>
    <row r="529" spans="3:20" ht="20.25" customHeight="1">
      <c r="C529" s="109"/>
      <c r="D529" s="115">
        <f t="shared" si="109"/>
        <v>529</v>
      </c>
      <c r="E529" s="119" t="s">
        <v>535</v>
      </c>
      <c r="F529" s="121">
        <f t="shared" si="104"/>
        <v>528</v>
      </c>
      <c r="G529" s="118" t="s">
        <v>44</v>
      </c>
      <c r="H529" s="118"/>
      <c r="I529" s="117">
        <v>18</v>
      </c>
      <c r="J529" s="121" t="str">
        <f>J528</f>
        <v>1664 mm id</v>
      </c>
      <c r="K529" s="131">
        <v>1</v>
      </c>
      <c r="L529" s="131" t="s">
        <v>81</v>
      </c>
      <c r="M529" s="141">
        <f t="shared" ref="M529" si="115">LEFT(J529,SEARCH(" ",J529,1)-1)*K529*3.142/1000</f>
        <v>5.2282879999999992</v>
      </c>
      <c r="N529" s="117" t="s">
        <v>50</v>
      </c>
      <c r="O529" s="133">
        <v>0.25</v>
      </c>
      <c r="P529" s="117" t="s">
        <v>112</v>
      </c>
      <c r="Q529" s="163">
        <f t="shared" si="102"/>
        <v>1.3070719999999998</v>
      </c>
      <c r="R529" s="161">
        <v>1</v>
      </c>
      <c r="S529" s="163">
        <f t="shared" si="103"/>
        <v>2.3070719999999998</v>
      </c>
      <c r="T529" s="165" t="s">
        <v>48</v>
      </c>
    </row>
    <row r="530" spans="3:20" ht="20.25" customHeight="1">
      <c r="C530" s="109">
        <f>D530</f>
        <v>530</v>
      </c>
      <c r="D530" s="115">
        <f t="shared" si="109"/>
        <v>530</v>
      </c>
      <c r="E530" s="116" t="s">
        <v>536</v>
      </c>
      <c r="F530" s="121">
        <f>D526</f>
        <v>526</v>
      </c>
      <c r="G530" s="118"/>
      <c r="H530" s="118"/>
      <c r="I530" s="117"/>
      <c r="J530" s="117"/>
      <c r="K530" s="131"/>
      <c r="L530" s="131"/>
      <c r="M530" s="132"/>
      <c r="N530" s="117"/>
      <c r="O530" s="133"/>
      <c r="P530" s="117"/>
      <c r="Q530" s="163"/>
      <c r="R530" s="161"/>
      <c r="S530" s="163"/>
      <c r="T530" s="162"/>
    </row>
    <row r="531" spans="3:20" ht="20.25" customHeight="1">
      <c r="C531" s="109"/>
      <c r="D531" s="115">
        <f t="shared" si="109"/>
        <v>531</v>
      </c>
      <c r="E531" s="119" t="s">
        <v>537</v>
      </c>
      <c r="F531" s="121">
        <f t="shared" si="104"/>
        <v>530</v>
      </c>
      <c r="G531" s="118" t="s">
        <v>201</v>
      </c>
      <c r="H531" s="118"/>
      <c r="I531" s="117">
        <v>12</v>
      </c>
      <c r="J531" s="121" t="str">
        <f>J529</f>
        <v>1664 mm id</v>
      </c>
      <c r="K531" s="131">
        <v>1</v>
      </c>
      <c r="L531" s="131" t="s">
        <v>81</v>
      </c>
      <c r="M531" s="132">
        <v>1</v>
      </c>
      <c r="N531" s="117" t="s">
        <v>249</v>
      </c>
      <c r="O531" s="133">
        <v>1</v>
      </c>
      <c r="P531" s="117" t="s">
        <v>112</v>
      </c>
      <c r="Q531" s="163">
        <f t="shared" si="102"/>
        <v>1</v>
      </c>
      <c r="R531" s="161">
        <v>1</v>
      </c>
      <c r="S531" s="163">
        <f t="shared" si="103"/>
        <v>2</v>
      </c>
      <c r="T531" s="165" t="s">
        <v>48</v>
      </c>
    </row>
    <row r="532" spans="3:20" ht="20.25" customHeight="1">
      <c r="C532" s="109"/>
      <c r="D532" s="115">
        <f t="shared" si="109"/>
        <v>532</v>
      </c>
      <c r="E532" s="119" t="s">
        <v>538</v>
      </c>
      <c r="F532" s="121">
        <f t="shared" si="104"/>
        <v>531</v>
      </c>
      <c r="G532" s="118" t="s">
        <v>115</v>
      </c>
      <c r="H532" s="118"/>
      <c r="I532" s="117">
        <v>12</v>
      </c>
      <c r="J532" s="121" t="str">
        <f>J531</f>
        <v>1664 mm id</v>
      </c>
      <c r="K532" s="131">
        <v>1</v>
      </c>
      <c r="L532" s="131" t="s">
        <v>81</v>
      </c>
      <c r="M532" s="141">
        <f t="shared" ref="M532:M535" si="116">LEFT(J532,SEARCH(" ",J532,1)-1)*K532*3.142/1000</f>
        <v>5.2282879999999992</v>
      </c>
      <c r="N532" s="117" t="s">
        <v>249</v>
      </c>
      <c r="O532" s="175">
        <f>VLOOKUP(I532,BM!$A$2:$X$104,17,FALSE)</f>
        <v>2.5</v>
      </c>
      <c r="P532" s="117" t="s">
        <v>112</v>
      </c>
      <c r="Q532" s="163">
        <f t="shared" si="102"/>
        <v>13.070719999999998</v>
      </c>
      <c r="R532" s="161">
        <v>1</v>
      </c>
      <c r="S532" s="163">
        <f t="shared" si="103"/>
        <v>14.070719999999998</v>
      </c>
      <c r="T532" s="165" t="s">
        <v>48</v>
      </c>
    </row>
    <row r="533" spans="3:20" ht="20.25" customHeight="1">
      <c r="C533" s="109"/>
      <c r="D533" s="115">
        <f t="shared" si="109"/>
        <v>533</v>
      </c>
      <c r="E533" s="119" t="s">
        <v>539</v>
      </c>
      <c r="F533" s="121">
        <f t="shared" si="104"/>
        <v>532</v>
      </c>
      <c r="G533" s="118" t="s">
        <v>61</v>
      </c>
      <c r="H533" s="118"/>
      <c r="I533" s="117">
        <v>18</v>
      </c>
      <c r="J533" s="121" t="str">
        <f t="shared" ref="J533:J535" si="117">J531</f>
        <v>1664 mm id</v>
      </c>
      <c r="K533" s="131">
        <v>1</v>
      </c>
      <c r="L533" s="131" t="s">
        <v>81</v>
      </c>
      <c r="M533" s="141">
        <f t="shared" si="116"/>
        <v>5.2282879999999992</v>
      </c>
      <c r="N533" s="117" t="s">
        <v>249</v>
      </c>
      <c r="O533" s="175">
        <f>VLOOKUP(I533,BM!$A$2:$X$104,18,FALSE)</f>
        <v>1</v>
      </c>
      <c r="P533" s="117" t="s">
        <v>112</v>
      </c>
      <c r="Q533" s="163">
        <f t="shared" si="102"/>
        <v>5.2282879999999992</v>
      </c>
      <c r="R533" s="161">
        <v>1</v>
      </c>
      <c r="S533" s="163">
        <f t="shared" si="103"/>
        <v>6.2282879999999992</v>
      </c>
      <c r="T533" s="165" t="s">
        <v>48</v>
      </c>
    </row>
    <row r="534" spans="3:20" ht="20.25" customHeight="1">
      <c r="C534" s="109"/>
      <c r="D534" s="115">
        <f t="shared" si="109"/>
        <v>534</v>
      </c>
      <c r="E534" s="119" t="s">
        <v>540</v>
      </c>
      <c r="F534" s="121">
        <f t="shared" si="104"/>
        <v>533</v>
      </c>
      <c r="G534" s="118" t="s">
        <v>115</v>
      </c>
      <c r="H534" s="118"/>
      <c r="I534" s="117">
        <v>6</v>
      </c>
      <c r="J534" s="121" t="str">
        <f t="shared" si="117"/>
        <v>1664 mm id</v>
      </c>
      <c r="K534" s="131">
        <v>1</v>
      </c>
      <c r="L534" s="131" t="s">
        <v>81</v>
      </c>
      <c r="M534" s="141">
        <f t="shared" si="116"/>
        <v>5.2282879999999992</v>
      </c>
      <c r="N534" s="117" t="s">
        <v>249</v>
      </c>
      <c r="O534" s="175">
        <f>VLOOKUP(I534,BM!$A$2:$X$104,17,FALSE)</f>
        <v>0.9</v>
      </c>
      <c r="P534" s="117" t="s">
        <v>112</v>
      </c>
      <c r="Q534" s="163">
        <f t="shared" si="102"/>
        <v>4.7054591999999991</v>
      </c>
      <c r="R534" s="161">
        <v>1</v>
      </c>
      <c r="S534" s="163">
        <f t="shared" si="103"/>
        <v>5.7054591999999991</v>
      </c>
      <c r="T534" s="165" t="s">
        <v>48</v>
      </c>
    </row>
    <row r="535" spans="3:20" ht="20.25" customHeight="1">
      <c r="C535" s="109"/>
      <c r="D535" s="115">
        <f t="shared" si="109"/>
        <v>535</v>
      </c>
      <c r="E535" s="119" t="s">
        <v>541</v>
      </c>
      <c r="F535" s="121">
        <f t="shared" si="104"/>
        <v>534</v>
      </c>
      <c r="G535" s="118" t="s">
        <v>61</v>
      </c>
      <c r="H535" s="118"/>
      <c r="I535" s="117">
        <v>18</v>
      </c>
      <c r="J535" s="121" t="str">
        <f t="shared" si="117"/>
        <v>1664 mm id</v>
      </c>
      <c r="K535" s="131">
        <v>1</v>
      </c>
      <c r="L535" s="131" t="s">
        <v>81</v>
      </c>
      <c r="M535" s="141">
        <f t="shared" si="116"/>
        <v>5.2282879999999992</v>
      </c>
      <c r="N535" s="117" t="s">
        <v>249</v>
      </c>
      <c r="O535" s="175">
        <f>VLOOKUP(I535,BM!$A$2:$X$104,20,FALSE)</f>
        <v>0.5</v>
      </c>
      <c r="P535" s="117" t="s">
        <v>112</v>
      </c>
      <c r="Q535" s="163">
        <f t="shared" si="102"/>
        <v>2.6141439999999996</v>
      </c>
      <c r="R535" s="161">
        <v>1</v>
      </c>
      <c r="S535" s="163">
        <f t="shared" si="103"/>
        <v>3.6141439999999996</v>
      </c>
      <c r="T535" s="165" t="s">
        <v>48</v>
      </c>
    </row>
    <row r="536" spans="3:20" ht="20.25" customHeight="1">
      <c r="C536" s="109">
        <f>D536</f>
        <v>536</v>
      </c>
      <c r="D536" s="115">
        <f t="shared" si="109"/>
        <v>536</v>
      </c>
      <c r="E536" s="116" t="s">
        <v>542</v>
      </c>
      <c r="F536" s="121">
        <f>D530</f>
        <v>530</v>
      </c>
      <c r="G536" s="118"/>
      <c r="H536" s="118"/>
      <c r="I536" s="117"/>
      <c r="J536" s="117"/>
      <c r="K536" s="131"/>
      <c r="L536" s="131"/>
      <c r="M536" s="132"/>
      <c r="N536" s="117"/>
      <c r="O536" s="133"/>
      <c r="P536" s="117"/>
      <c r="Q536" s="163"/>
      <c r="R536" s="161"/>
      <c r="S536" s="163"/>
      <c r="T536" s="162"/>
    </row>
    <row r="537" spans="3:20" ht="20.25" customHeight="1">
      <c r="C537" s="109"/>
      <c r="D537" s="115">
        <f t="shared" si="109"/>
        <v>537</v>
      </c>
      <c r="E537" s="119" t="s">
        <v>543</v>
      </c>
      <c r="F537" s="121">
        <f t="shared" si="104"/>
        <v>536</v>
      </c>
      <c r="G537" s="118" t="s">
        <v>52</v>
      </c>
      <c r="H537" s="118"/>
      <c r="I537" s="117">
        <v>18</v>
      </c>
      <c r="J537" s="121" t="str">
        <f>J535</f>
        <v>1664 mm id</v>
      </c>
      <c r="K537" s="131">
        <v>1</v>
      </c>
      <c r="L537" s="131" t="s">
        <v>81</v>
      </c>
      <c r="M537" s="141">
        <f t="shared" ref="M537:M540" si="118">LEFT(J537,SEARCH(" ",J537,1)-1)*K537*3.142/1000</f>
        <v>5.2282879999999992</v>
      </c>
      <c r="N537" s="117" t="s">
        <v>139</v>
      </c>
      <c r="O537" s="175">
        <f>VLOOKUP(I537,BM!$A$2:$X$104,10,FALSE)</f>
        <v>1</v>
      </c>
      <c r="P537" s="117" t="s">
        <v>112</v>
      </c>
      <c r="Q537" s="163">
        <f t="shared" si="102"/>
        <v>5.2282879999999992</v>
      </c>
      <c r="R537" s="161">
        <v>1</v>
      </c>
      <c r="S537" s="163">
        <f t="shared" si="103"/>
        <v>6.2282879999999992</v>
      </c>
      <c r="T537" s="165" t="s">
        <v>48</v>
      </c>
    </row>
    <row r="538" spans="3:20" ht="20.25" customHeight="1">
      <c r="C538" s="109"/>
      <c r="D538" s="115">
        <f t="shared" si="109"/>
        <v>538</v>
      </c>
      <c r="E538" s="119" t="s">
        <v>544</v>
      </c>
      <c r="F538" s="121">
        <f t="shared" si="104"/>
        <v>537</v>
      </c>
      <c r="G538" s="118" t="s">
        <v>44</v>
      </c>
      <c r="H538" s="118"/>
      <c r="I538" s="117">
        <v>18</v>
      </c>
      <c r="J538" s="121" t="str">
        <f t="shared" ref="J538:J540" si="119">J537</f>
        <v>1664 mm id</v>
      </c>
      <c r="K538" s="131">
        <v>1</v>
      </c>
      <c r="L538" s="131" t="s">
        <v>81</v>
      </c>
      <c r="M538" s="141">
        <f t="shared" si="118"/>
        <v>5.2282879999999992</v>
      </c>
      <c r="N538" s="117" t="s">
        <v>139</v>
      </c>
      <c r="O538" s="175">
        <f>VLOOKUP(I538,BM!$A$2:$X$104,16,FALSE)</f>
        <v>1</v>
      </c>
      <c r="P538" s="117" t="s">
        <v>112</v>
      </c>
      <c r="Q538" s="163">
        <f t="shared" si="102"/>
        <v>5.2282879999999992</v>
      </c>
      <c r="R538" s="161">
        <v>1</v>
      </c>
      <c r="S538" s="163">
        <f t="shared" si="103"/>
        <v>6.2282879999999992</v>
      </c>
      <c r="T538" s="165" t="s">
        <v>48</v>
      </c>
    </row>
    <row r="539" spans="3:20" ht="20.25" customHeight="1">
      <c r="C539" s="109"/>
      <c r="D539" s="115">
        <f t="shared" si="109"/>
        <v>539</v>
      </c>
      <c r="E539" s="119" t="s">
        <v>545</v>
      </c>
      <c r="F539" s="121">
        <f t="shared" si="104"/>
        <v>538</v>
      </c>
      <c r="G539" s="118" t="s">
        <v>111</v>
      </c>
      <c r="H539" s="118"/>
      <c r="I539" s="117">
        <v>18</v>
      </c>
      <c r="J539" s="121" t="str">
        <f t="shared" si="119"/>
        <v>1664 mm id</v>
      </c>
      <c r="K539" s="131">
        <v>1</v>
      </c>
      <c r="L539" s="131" t="s">
        <v>81</v>
      </c>
      <c r="M539" s="141">
        <f t="shared" si="118"/>
        <v>5.2282879999999992</v>
      </c>
      <c r="N539" s="117" t="s">
        <v>139</v>
      </c>
      <c r="O539" s="133">
        <v>4</v>
      </c>
      <c r="P539" s="117" t="s">
        <v>112</v>
      </c>
      <c r="Q539" s="163">
        <f t="shared" si="102"/>
        <v>20.913151999999997</v>
      </c>
      <c r="R539" s="161">
        <v>1</v>
      </c>
      <c r="S539" s="163">
        <f t="shared" si="103"/>
        <v>21.913151999999997</v>
      </c>
      <c r="T539" s="165" t="s">
        <v>48</v>
      </c>
    </row>
    <row r="540" spans="3:20" ht="20.25" customHeight="1">
      <c r="C540" s="109"/>
      <c r="D540" s="115">
        <f t="shared" si="109"/>
        <v>540</v>
      </c>
      <c r="E540" s="119" t="s">
        <v>546</v>
      </c>
      <c r="F540" s="121">
        <f t="shared" si="104"/>
        <v>539</v>
      </c>
      <c r="G540" s="118" t="s">
        <v>63</v>
      </c>
      <c r="H540" s="118"/>
      <c r="I540" s="117">
        <v>18</v>
      </c>
      <c r="J540" s="121" t="str">
        <f t="shared" si="119"/>
        <v>1664 mm id</v>
      </c>
      <c r="K540" s="131">
        <v>1</v>
      </c>
      <c r="L540" s="131" t="s">
        <v>81</v>
      </c>
      <c r="M540" s="141">
        <f t="shared" si="118"/>
        <v>5.2282879999999992</v>
      </c>
      <c r="N540" s="117" t="s">
        <v>39</v>
      </c>
      <c r="O540" s="133">
        <v>3.5</v>
      </c>
      <c r="P540" s="117" t="s">
        <v>112</v>
      </c>
      <c r="Q540" s="163">
        <f t="shared" ref="Q540:Q602" si="120">M540*O540</f>
        <v>18.299007999999997</v>
      </c>
      <c r="R540" s="161">
        <v>1</v>
      </c>
      <c r="S540" s="163">
        <f t="shared" ref="S540:S602" si="121">Q540+R540</f>
        <v>19.299007999999997</v>
      </c>
      <c r="T540" s="165" t="s">
        <v>48</v>
      </c>
    </row>
    <row r="541" spans="3:20" ht="20.25" customHeight="1">
      <c r="C541" s="109">
        <f>D541</f>
        <v>541</v>
      </c>
      <c r="D541" s="115">
        <f t="shared" si="109"/>
        <v>541</v>
      </c>
      <c r="E541" s="116" t="s">
        <v>547</v>
      </c>
      <c r="F541" s="121">
        <f>D536</f>
        <v>536</v>
      </c>
      <c r="G541" s="118"/>
      <c r="H541" s="118"/>
      <c r="I541" s="117"/>
      <c r="J541" s="117"/>
      <c r="K541" s="131"/>
      <c r="L541" s="131"/>
      <c r="M541" s="132"/>
      <c r="N541" s="117"/>
      <c r="O541" s="133"/>
      <c r="P541" s="117"/>
      <c r="Q541" s="163"/>
      <c r="R541" s="161"/>
      <c r="S541" s="163"/>
      <c r="T541" s="162"/>
    </row>
    <row r="542" spans="3:20" ht="20.25" customHeight="1">
      <c r="C542" s="109"/>
      <c r="D542" s="115">
        <f t="shared" si="109"/>
        <v>542</v>
      </c>
      <c r="E542" s="119" t="s">
        <v>548</v>
      </c>
      <c r="F542" s="121">
        <f t="shared" ref="F542:F602" si="122">D541</f>
        <v>541</v>
      </c>
      <c r="G542" s="118" t="s">
        <v>201</v>
      </c>
      <c r="H542" s="118"/>
      <c r="I542" s="117">
        <v>12</v>
      </c>
      <c r="J542" s="121" t="str">
        <f>J540</f>
        <v>1664 mm id</v>
      </c>
      <c r="K542" s="131">
        <v>1</v>
      </c>
      <c r="L542" s="131" t="s">
        <v>81</v>
      </c>
      <c r="M542" s="132">
        <v>1</v>
      </c>
      <c r="N542" s="117" t="s">
        <v>249</v>
      </c>
      <c r="O542" s="133">
        <v>1</v>
      </c>
      <c r="P542" s="117" t="s">
        <v>112</v>
      </c>
      <c r="Q542" s="163">
        <f t="shared" si="120"/>
        <v>1</v>
      </c>
      <c r="R542" s="161">
        <v>1</v>
      </c>
      <c r="S542" s="163">
        <f t="shared" si="121"/>
        <v>2</v>
      </c>
      <c r="T542" s="165" t="s">
        <v>48</v>
      </c>
    </row>
    <row r="543" spans="3:20" ht="20.25" customHeight="1">
      <c r="C543" s="109"/>
      <c r="D543" s="115">
        <f t="shared" si="109"/>
        <v>543</v>
      </c>
      <c r="E543" s="119" t="s">
        <v>549</v>
      </c>
      <c r="F543" s="121">
        <f t="shared" si="122"/>
        <v>542</v>
      </c>
      <c r="G543" s="118" t="s">
        <v>115</v>
      </c>
      <c r="H543" s="118"/>
      <c r="I543" s="117">
        <v>12</v>
      </c>
      <c r="J543" s="121" t="str">
        <f t="shared" ref="J543:J546" si="123">J542</f>
        <v>1664 mm id</v>
      </c>
      <c r="K543" s="131">
        <v>1</v>
      </c>
      <c r="L543" s="131" t="s">
        <v>81</v>
      </c>
      <c r="M543" s="141">
        <f t="shared" ref="M543:M546" si="124">LEFT(J543,SEARCH(" ",J543,1)-1)*K543*3.142/1000</f>
        <v>5.2282879999999992</v>
      </c>
      <c r="N543" s="117" t="s">
        <v>249</v>
      </c>
      <c r="O543" s="175">
        <f>VLOOKUP(I543,BM!$A$2:$X$104,17,FALSE)</f>
        <v>2.5</v>
      </c>
      <c r="P543" s="117" t="s">
        <v>112</v>
      </c>
      <c r="Q543" s="163">
        <f t="shared" si="120"/>
        <v>13.070719999999998</v>
      </c>
      <c r="R543" s="161">
        <v>1</v>
      </c>
      <c r="S543" s="163">
        <f t="shared" si="121"/>
        <v>14.070719999999998</v>
      </c>
      <c r="T543" s="165" t="s">
        <v>48</v>
      </c>
    </row>
    <row r="544" spans="3:20" ht="20.25" customHeight="1">
      <c r="C544" s="109"/>
      <c r="D544" s="115">
        <f t="shared" si="109"/>
        <v>544</v>
      </c>
      <c r="E544" s="119" t="s">
        <v>550</v>
      </c>
      <c r="F544" s="121">
        <f t="shared" si="122"/>
        <v>543</v>
      </c>
      <c r="G544" s="118" t="s">
        <v>61</v>
      </c>
      <c r="H544" s="118"/>
      <c r="I544" s="117">
        <v>18</v>
      </c>
      <c r="J544" s="121" t="str">
        <f t="shared" si="123"/>
        <v>1664 mm id</v>
      </c>
      <c r="K544" s="131">
        <v>1</v>
      </c>
      <c r="L544" s="131" t="s">
        <v>81</v>
      </c>
      <c r="M544" s="141">
        <f t="shared" si="124"/>
        <v>5.2282879999999992</v>
      </c>
      <c r="N544" s="117" t="s">
        <v>249</v>
      </c>
      <c r="O544" s="175">
        <f>VLOOKUP(I544,BM!$A$2:$X$104,18,FALSE)</f>
        <v>1</v>
      </c>
      <c r="P544" s="117" t="s">
        <v>112</v>
      </c>
      <c r="Q544" s="163">
        <f t="shared" si="120"/>
        <v>5.2282879999999992</v>
      </c>
      <c r="R544" s="161">
        <v>1</v>
      </c>
      <c r="S544" s="163">
        <f t="shared" si="121"/>
        <v>6.2282879999999992</v>
      </c>
      <c r="T544" s="165" t="s">
        <v>48</v>
      </c>
    </row>
    <row r="545" spans="3:20" ht="20.25" customHeight="1">
      <c r="C545" s="109"/>
      <c r="D545" s="115">
        <f t="shared" si="109"/>
        <v>545</v>
      </c>
      <c r="E545" s="119" t="s">
        <v>551</v>
      </c>
      <c r="F545" s="121">
        <f t="shared" si="122"/>
        <v>544</v>
      </c>
      <c r="G545" s="118" t="s">
        <v>115</v>
      </c>
      <c r="H545" s="118"/>
      <c r="I545" s="117">
        <v>6</v>
      </c>
      <c r="J545" s="121" t="str">
        <f t="shared" si="123"/>
        <v>1664 mm id</v>
      </c>
      <c r="K545" s="131">
        <v>1</v>
      </c>
      <c r="L545" s="131" t="s">
        <v>81</v>
      </c>
      <c r="M545" s="141">
        <f t="shared" si="124"/>
        <v>5.2282879999999992</v>
      </c>
      <c r="N545" s="117" t="s">
        <v>249</v>
      </c>
      <c r="O545" s="175">
        <f>VLOOKUP(I545,BM!$A$2:$X$104,17,FALSE)</f>
        <v>0.9</v>
      </c>
      <c r="P545" s="117" t="s">
        <v>112</v>
      </c>
      <c r="Q545" s="163">
        <f t="shared" si="120"/>
        <v>4.7054591999999991</v>
      </c>
      <c r="R545" s="161">
        <v>1</v>
      </c>
      <c r="S545" s="163">
        <f t="shared" si="121"/>
        <v>5.7054591999999991</v>
      </c>
      <c r="T545" s="165" t="s">
        <v>48</v>
      </c>
    </row>
    <row r="546" spans="3:20" ht="20.25" customHeight="1">
      <c r="C546" s="109"/>
      <c r="D546" s="115">
        <f t="shared" si="109"/>
        <v>546</v>
      </c>
      <c r="E546" s="119" t="s">
        <v>552</v>
      </c>
      <c r="F546" s="121">
        <f t="shared" si="122"/>
        <v>545</v>
      </c>
      <c r="G546" s="118" t="s">
        <v>61</v>
      </c>
      <c r="H546" s="118"/>
      <c r="I546" s="117">
        <v>18</v>
      </c>
      <c r="J546" s="121" t="str">
        <f t="shared" si="123"/>
        <v>1664 mm id</v>
      </c>
      <c r="K546" s="131">
        <v>1</v>
      </c>
      <c r="L546" s="131" t="s">
        <v>81</v>
      </c>
      <c r="M546" s="141">
        <f t="shared" si="124"/>
        <v>5.2282879999999992</v>
      </c>
      <c r="N546" s="117" t="s">
        <v>249</v>
      </c>
      <c r="O546" s="175">
        <f>VLOOKUP(I546,BM!$A$2:$X$104,20,FALSE)</f>
        <v>0.5</v>
      </c>
      <c r="P546" s="117" t="s">
        <v>112</v>
      </c>
      <c r="Q546" s="163">
        <f t="shared" si="120"/>
        <v>2.6141439999999996</v>
      </c>
      <c r="R546" s="161">
        <v>1</v>
      </c>
      <c r="S546" s="163">
        <f t="shared" si="121"/>
        <v>3.6141439999999996</v>
      </c>
      <c r="T546" s="165" t="s">
        <v>48</v>
      </c>
    </row>
    <row r="547" spans="3:20" ht="20.25" customHeight="1">
      <c r="C547" s="109">
        <f>D547</f>
        <v>547</v>
      </c>
      <c r="D547" s="115">
        <f t="shared" si="109"/>
        <v>547</v>
      </c>
      <c r="E547" s="116" t="s">
        <v>553</v>
      </c>
      <c r="F547" s="121">
        <f>D541</f>
        <v>541</v>
      </c>
      <c r="G547" s="118"/>
      <c r="H547" s="118"/>
      <c r="I547" s="117"/>
      <c r="J547" s="117"/>
      <c r="K547" s="131"/>
      <c r="L547" s="131"/>
      <c r="M547" s="132"/>
      <c r="N547" s="117"/>
      <c r="O547" s="133"/>
      <c r="P547" s="117"/>
      <c r="Q547" s="163"/>
      <c r="R547" s="161"/>
      <c r="S547" s="163"/>
      <c r="T547" s="162"/>
    </row>
    <row r="548" spans="3:20" ht="20.25" customHeight="1">
      <c r="C548" s="109"/>
      <c r="D548" s="115">
        <f t="shared" si="109"/>
        <v>548</v>
      </c>
      <c r="E548" s="119" t="s">
        <v>554</v>
      </c>
      <c r="F548" s="121">
        <f t="shared" si="122"/>
        <v>547</v>
      </c>
      <c r="G548" s="118" t="s">
        <v>312</v>
      </c>
      <c r="H548" s="118"/>
      <c r="I548" s="121">
        <f>I546</f>
        <v>18</v>
      </c>
      <c r="J548" s="121" t="str">
        <f t="shared" ref="J548:L548" si="125">J546</f>
        <v>1664 mm id</v>
      </c>
      <c r="K548" s="177">
        <f t="shared" si="125"/>
        <v>1</v>
      </c>
      <c r="L548" s="177" t="str">
        <f t="shared" si="125"/>
        <v>Nos</v>
      </c>
      <c r="M548" s="117">
        <v>1</v>
      </c>
      <c r="N548" s="117" t="s">
        <v>39</v>
      </c>
      <c r="O548" s="133">
        <v>1</v>
      </c>
      <c r="P548" s="117" t="s">
        <v>41</v>
      </c>
      <c r="Q548" s="163">
        <f t="shared" si="120"/>
        <v>1</v>
      </c>
      <c r="R548" s="121"/>
      <c r="S548" s="163">
        <f t="shared" si="121"/>
        <v>1</v>
      </c>
      <c r="T548" s="165" t="s">
        <v>41</v>
      </c>
    </row>
    <row r="549" spans="3:20" ht="20.25" customHeight="1">
      <c r="C549" s="109">
        <f>D549</f>
        <v>549</v>
      </c>
      <c r="D549" s="115">
        <f t="shared" si="109"/>
        <v>549</v>
      </c>
      <c r="E549" s="116" t="s">
        <v>555</v>
      </c>
      <c r="F549" s="121">
        <f>D547</f>
        <v>547</v>
      </c>
      <c r="G549" s="118"/>
      <c r="H549" s="118"/>
      <c r="I549" s="117"/>
      <c r="J549" s="117"/>
      <c r="K549" s="131"/>
      <c r="L549" s="131"/>
      <c r="M549" s="132"/>
      <c r="N549" s="117"/>
      <c r="O549" s="133"/>
      <c r="P549" s="117"/>
      <c r="Q549" s="163"/>
      <c r="R549" s="161"/>
      <c r="S549" s="163"/>
      <c r="T549" s="162"/>
    </row>
    <row r="550" spans="3:20" ht="20.25" customHeight="1">
      <c r="C550" s="109"/>
      <c r="D550" s="115">
        <f t="shared" si="109"/>
        <v>550</v>
      </c>
      <c r="E550" s="119" t="s">
        <v>556</v>
      </c>
      <c r="F550" s="121">
        <f t="shared" si="122"/>
        <v>549</v>
      </c>
      <c r="G550" s="118" t="s">
        <v>44</v>
      </c>
      <c r="H550" s="118"/>
      <c r="I550" s="117">
        <v>20</v>
      </c>
      <c r="J550" s="121" t="str">
        <f>J548</f>
        <v>1664 mm id</v>
      </c>
      <c r="K550" s="131">
        <v>1</v>
      </c>
      <c r="L550" s="131" t="s">
        <v>81</v>
      </c>
      <c r="M550" s="132">
        <v>1</v>
      </c>
      <c r="N550" s="117" t="s">
        <v>81</v>
      </c>
      <c r="O550" s="133">
        <v>3</v>
      </c>
      <c r="P550" s="117" t="s">
        <v>112</v>
      </c>
      <c r="Q550" s="163">
        <f t="shared" si="120"/>
        <v>3</v>
      </c>
      <c r="R550" s="161">
        <v>1</v>
      </c>
      <c r="S550" s="163">
        <f t="shared" si="121"/>
        <v>4</v>
      </c>
      <c r="T550" s="165" t="s">
        <v>48</v>
      </c>
    </row>
    <row r="551" spans="3:20" ht="20.25" customHeight="1">
      <c r="C551" s="109"/>
      <c r="D551" s="115">
        <f t="shared" si="109"/>
        <v>551</v>
      </c>
      <c r="E551" s="119" t="s">
        <v>557</v>
      </c>
      <c r="F551" s="121">
        <f t="shared" si="122"/>
        <v>550</v>
      </c>
      <c r="G551" s="118" t="s">
        <v>44</v>
      </c>
      <c r="H551" s="118"/>
      <c r="I551" s="117">
        <v>20</v>
      </c>
      <c r="J551" s="121" t="str">
        <f>J550</f>
        <v>1664 mm id</v>
      </c>
      <c r="K551" s="131">
        <v>1</v>
      </c>
      <c r="L551" s="131" t="s">
        <v>81</v>
      </c>
      <c r="M551" s="132">
        <v>1</v>
      </c>
      <c r="N551" s="117" t="s">
        <v>81</v>
      </c>
      <c r="O551" s="133">
        <v>1</v>
      </c>
      <c r="P551" s="117" t="s">
        <v>112</v>
      </c>
      <c r="Q551" s="163">
        <f t="shared" si="120"/>
        <v>1</v>
      </c>
      <c r="R551" s="161">
        <v>1</v>
      </c>
      <c r="S551" s="163">
        <f t="shared" si="121"/>
        <v>2</v>
      </c>
      <c r="T551" s="165" t="s">
        <v>48</v>
      </c>
    </row>
    <row r="552" spans="3:20" ht="20.25" customHeight="1">
      <c r="C552" s="109">
        <f>D552</f>
        <v>552</v>
      </c>
      <c r="D552" s="115">
        <f t="shared" si="109"/>
        <v>552</v>
      </c>
      <c r="E552" s="116" t="s">
        <v>774</v>
      </c>
      <c r="F552" s="121">
        <f>D549</f>
        <v>549</v>
      </c>
      <c r="G552" s="118"/>
      <c r="H552" s="118"/>
      <c r="I552" s="117"/>
      <c r="J552" s="117"/>
      <c r="K552" s="131"/>
      <c r="L552" s="131"/>
      <c r="M552" s="132"/>
      <c r="N552" s="117"/>
      <c r="O552" s="133"/>
      <c r="P552" s="117"/>
      <c r="Q552" s="163"/>
      <c r="R552" s="161"/>
      <c r="S552" s="163"/>
      <c r="T552" s="165"/>
    </row>
    <row r="553" spans="3:20" ht="20.25" customHeight="1">
      <c r="C553" s="109"/>
      <c r="D553" s="115">
        <f t="shared" si="109"/>
        <v>553</v>
      </c>
      <c r="E553" s="119" t="s">
        <v>559</v>
      </c>
      <c r="F553" s="121">
        <f t="shared" si="122"/>
        <v>552</v>
      </c>
      <c r="G553" s="118" t="s">
        <v>52</v>
      </c>
      <c r="H553" s="118"/>
      <c r="I553" s="117"/>
      <c r="J553" s="117" t="s">
        <v>560</v>
      </c>
      <c r="K553" s="131">
        <v>1</v>
      </c>
      <c r="L553" s="131" t="s">
        <v>39</v>
      </c>
      <c r="M553" s="132">
        <v>1</v>
      </c>
      <c r="N553" s="117" t="s">
        <v>81</v>
      </c>
      <c r="O553" s="133">
        <v>3</v>
      </c>
      <c r="P553" s="117" t="s">
        <v>112</v>
      </c>
      <c r="Q553" s="163">
        <f t="shared" si="120"/>
        <v>3</v>
      </c>
      <c r="R553" s="161">
        <v>1</v>
      </c>
      <c r="S553" s="163">
        <f t="shared" si="121"/>
        <v>4</v>
      </c>
      <c r="T553" s="165" t="s">
        <v>48</v>
      </c>
    </row>
    <row r="554" spans="3:20" ht="20.25" customHeight="1">
      <c r="C554" s="109"/>
      <c r="D554" s="115">
        <f t="shared" si="109"/>
        <v>554</v>
      </c>
      <c r="E554" s="119" t="s">
        <v>559</v>
      </c>
      <c r="F554" s="121">
        <f t="shared" si="122"/>
        <v>553</v>
      </c>
      <c r="G554" s="118" t="s">
        <v>52</v>
      </c>
      <c r="H554" s="118"/>
      <c r="I554" s="117"/>
      <c r="J554" s="117" t="s">
        <v>560</v>
      </c>
      <c r="K554" s="131">
        <v>1</v>
      </c>
      <c r="L554" s="131" t="s">
        <v>39</v>
      </c>
      <c r="M554" s="132">
        <v>1</v>
      </c>
      <c r="N554" s="117" t="s">
        <v>81</v>
      </c>
      <c r="O554" s="133">
        <v>3</v>
      </c>
      <c r="P554" s="117" t="s">
        <v>112</v>
      </c>
      <c r="Q554" s="163">
        <f t="shared" si="120"/>
        <v>3</v>
      </c>
      <c r="R554" s="161">
        <v>1</v>
      </c>
      <c r="S554" s="163">
        <f t="shared" si="121"/>
        <v>4</v>
      </c>
      <c r="T554" s="165" t="s">
        <v>48</v>
      </c>
    </row>
    <row r="555" spans="3:20" ht="20.25" customHeight="1">
      <c r="C555" s="109">
        <f>D555</f>
        <v>555</v>
      </c>
      <c r="D555" s="115">
        <f t="shared" si="109"/>
        <v>555</v>
      </c>
      <c r="E555" s="116" t="s">
        <v>561</v>
      </c>
      <c r="F555" s="121">
        <f>D552</f>
        <v>552</v>
      </c>
      <c r="G555" s="118"/>
      <c r="H555" s="118"/>
      <c r="I555" s="117"/>
      <c r="J555" s="117"/>
      <c r="K555" s="131"/>
      <c r="L555" s="131"/>
      <c r="M555" s="132"/>
      <c r="N555" s="117"/>
      <c r="O555" s="133"/>
      <c r="P555" s="117"/>
      <c r="Q555" s="163"/>
      <c r="R555" s="161"/>
      <c r="S555" s="163"/>
      <c r="T555" s="165"/>
    </row>
    <row r="556" spans="3:20" ht="20.25" customHeight="1">
      <c r="C556" s="109"/>
      <c r="D556" s="115">
        <f t="shared" si="109"/>
        <v>556</v>
      </c>
      <c r="E556" s="119" t="s">
        <v>559</v>
      </c>
      <c r="F556" s="121">
        <f t="shared" si="122"/>
        <v>555</v>
      </c>
      <c r="G556" s="118" t="s">
        <v>121</v>
      </c>
      <c r="H556" s="118"/>
      <c r="I556" s="117"/>
      <c r="J556" s="117" t="s">
        <v>560</v>
      </c>
      <c r="K556" s="131">
        <v>1</v>
      </c>
      <c r="L556" s="131" t="s">
        <v>39</v>
      </c>
      <c r="M556" s="132">
        <v>1</v>
      </c>
      <c r="N556" s="117" t="s">
        <v>81</v>
      </c>
      <c r="O556" s="133">
        <v>2</v>
      </c>
      <c r="P556" s="117" t="s">
        <v>112</v>
      </c>
      <c r="Q556" s="163">
        <f t="shared" si="120"/>
        <v>2</v>
      </c>
      <c r="R556" s="161">
        <v>1</v>
      </c>
      <c r="S556" s="163">
        <f t="shared" si="121"/>
        <v>3</v>
      </c>
      <c r="T556" s="165" t="s">
        <v>48</v>
      </c>
    </row>
    <row r="557" spans="3:20" ht="20.25" customHeight="1">
      <c r="C557" s="109"/>
      <c r="D557" s="115">
        <f t="shared" si="109"/>
        <v>557</v>
      </c>
      <c r="E557" s="119" t="s">
        <v>559</v>
      </c>
      <c r="F557" s="121">
        <f t="shared" si="122"/>
        <v>556</v>
      </c>
      <c r="G557" s="118" t="s">
        <v>121</v>
      </c>
      <c r="H557" s="118"/>
      <c r="I557" s="117"/>
      <c r="J557" s="117" t="s">
        <v>560</v>
      </c>
      <c r="K557" s="131">
        <v>1</v>
      </c>
      <c r="L557" s="131" t="s">
        <v>39</v>
      </c>
      <c r="M557" s="132">
        <v>1</v>
      </c>
      <c r="N557" s="117" t="s">
        <v>81</v>
      </c>
      <c r="O557" s="133">
        <v>2</v>
      </c>
      <c r="P557" s="117" t="s">
        <v>112</v>
      </c>
      <c r="Q557" s="163">
        <f t="shared" si="120"/>
        <v>2</v>
      </c>
      <c r="R557" s="161">
        <v>1</v>
      </c>
      <c r="S557" s="163">
        <f t="shared" si="121"/>
        <v>3</v>
      </c>
      <c r="T557" s="165" t="s">
        <v>48</v>
      </c>
    </row>
    <row r="558" spans="3:20" ht="20.25" customHeight="1">
      <c r="C558" s="109">
        <f>D558</f>
        <v>558</v>
      </c>
      <c r="D558" s="115">
        <f t="shared" si="109"/>
        <v>558</v>
      </c>
      <c r="E558" s="116" t="s">
        <v>562</v>
      </c>
      <c r="F558" s="121">
        <f>D555</f>
        <v>555</v>
      </c>
      <c r="G558" s="118"/>
      <c r="H558" s="118"/>
      <c r="I558" s="117"/>
      <c r="J558" s="117"/>
      <c r="K558" s="131"/>
      <c r="L558" s="131"/>
      <c r="M558" s="132"/>
      <c r="N558" s="117"/>
      <c r="O558" s="133"/>
      <c r="P558" s="117"/>
      <c r="Q558" s="163"/>
      <c r="R558" s="161"/>
      <c r="S558" s="163"/>
      <c r="T558" s="165"/>
    </row>
    <row r="559" spans="3:20" ht="20.25" customHeight="1">
      <c r="C559" s="109"/>
      <c r="D559" s="115">
        <f t="shared" si="109"/>
        <v>559</v>
      </c>
      <c r="E559" s="119" t="s">
        <v>563</v>
      </c>
      <c r="F559" s="121">
        <f t="shared" si="122"/>
        <v>558</v>
      </c>
      <c r="G559" s="118" t="s">
        <v>111</v>
      </c>
      <c r="H559" s="118"/>
      <c r="I559" s="117"/>
      <c r="J559" s="117" t="s">
        <v>560</v>
      </c>
      <c r="K559" s="131">
        <v>1</v>
      </c>
      <c r="L559" s="131" t="s">
        <v>564</v>
      </c>
      <c r="M559" s="132">
        <v>1</v>
      </c>
      <c r="N559" s="117" t="s">
        <v>81</v>
      </c>
      <c r="O559" s="175">
        <f>VLOOKUP(J559,BM!$A$2:$X$104,11,FALSE)</f>
        <v>1</v>
      </c>
      <c r="P559" s="117" t="s">
        <v>112</v>
      </c>
      <c r="Q559" s="163">
        <f t="shared" si="120"/>
        <v>1</v>
      </c>
      <c r="R559" s="161">
        <v>1</v>
      </c>
      <c r="S559" s="163">
        <f t="shared" si="121"/>
        <v>2</v>
      </c>
      <c r="T559" s="165" t="s">
        <v>48</v>
      </c>
    </row>
    <row r="560" spans="3:20" ht="20.25" customHeight="1">
      <c r="C560" s="109"/>
      <c r="D560" s="115">
        <f t="shared" si="109"/>
        <v>560</v>
      </c>
      <c r="E560" s="119" t="s">
        <v>565</v>
      </c>
      <c r="F560" s="121">
        <f t="shared" si="122"/>
        <v>559</v>
      </c>
      <c r="G560" s="118" t="s">
        <v>111</v>
      </c>
      <c r="H560" s="118"/>
      <c r="I560" s="117"/>
      <c r="J560" s="121" t="str">
        <f>J559</f>
        <v>40NB</v>
      </c>
      <c r="K560" s="131">
        <v>1</v>
      </c>
      <c r="L560" s="131" t="s">
        <v>564</v>
      </c>
      <c r="M560" s="132">
        <v>1</v>
      </c>
      <c r="N560" s="117" t="s">
        <v>81</v>
      </c>
      <c r="O560" s="175">
        <f>VLOOKUP(J560,BM!$A$2:$X$104,11,FALSE)</f>
        <v>1</v>
      </c>
      <c r="P560" s="117" t="s">
        <v>112</v>
      </c>
      <c r="Q560" s="163">
        <f t="shared" si="120"/>
        <v>1</v>
      </c>
      <c r="R560" s="161">
        <v>1</v>
      </c>
      <c r="S560" s="163">
        <f t="shared" si="121"/>
        <v>2</v>
      </c>
      <c r="T560" s="165" t="s">
        <v>48</v>
      </c>
    </row>
    <row r="561" spans="3:20" ht="20.25" customHeight="1">
      <c r="C561" s="109">
        <f>D561</f>
        <v>561</v>
      </c>
      <c r="D561" s="115">
        <f t="shared" si="109"/>
        <v>561</v>
      </c>
      <c r="E561" s="116" t="s">
        <v>566</v>
      </c>
      <c r="F561" s="121">
        <f>D558</f>
        <v>558</v>
      </c>
      <c r="G561" s="118"/>
      <c r="H561" s="118"/>
      <c r="I561" s="117"/>
      <c r="J561" s="117"/>
      <c r="K561" s="131"/>
      <c r="L561" s="131"/>
      <c r="M561" s="132"/>
      <c r="N561" s="117"/>
      <c r="O561" s="133"/>
      <c r="P561" s="117"/>
      <c r="Q561" s="163"/>
      <c r="R561" s="161"/>
      <c r="S561" s="163"/>
      <c r="T561" s="165"/>
    </row>
    <row r="562" spans="3:20" ht="20.25" customHeight="1">
      <c r="C562" s="109"/>
      <c r="D562" s="115">
        <f t="shared" si="109"/>
        <v>562</v>
      </c>
      <c r="E562" s="119" t="s">
        <v>567</v>
      </c>
      <c r="F562" s="121">
        <f t="shared" si="122"/>
        <v>561</v>
      </c>
      <c r="G562" s="118" t="s">
        <v>568</v>
      </c>
      <c r="H562" s="118"/>
      <c r="I562" s="117"/>
      <c r="J562" s="121" t="str">
        <f>J560</f>
        <v>40NB</v>
      </c>
      <c r="K562" s="131">
        <v>1</v>
      </c>
      <c r="L562" s="131" t="s">
        <v>564</v>
      </c>
      <c r="M562" s="132">
        <v>1</v>
      </c>
      <c r="N562" s="117" t="s">
        <v>81</v>
      </c>
      <c r="O562" s="133">
        <v>0.5</v>
      </c>
      <c r="P562" s="117" t="s">
        <v>112</v>
      </c>
      <c r="Q562" s="163">
        <f t="shared" si="120"/>
        <v>0.5</v>
      </c>
      <c r="R562" s="161">
        <v>1</v>
      </c>
      <c r="S562" s="163">
        <f t="shared" si="121"/>
        <v>1.5</v>
      </c>
      <c r="T562" s="165" t="s">
        <v>48</v>
      </c>
    </row>
    <row r="563" spans="3:20" ht="20.25" customHeight="1">
      <c r="C563" s="109"/>
      <c r="D563" s="115">
        <f t="shared" si="109"/>
        <v>563</v>
      </c>
      <c r="E563" s="119" t="s">
        <v>569</v>
      </c>
      <c r="F563" s="121">
        <f t="shared" si="122"/>
        <v>562</v>
      </c>
      <c r="G563" s="118" t="s">
        <v>568</v>
      </c>
      <c r="H563" s="118"/>
      <c r="I563" s="117"/>
      <c r="J563" s="121" t="str">
        <f>J560</f>
        <v>40NB</v>
      </c>
      <c r="K563" s="131">
        <v>1</v>
      </c>
      <c r="L563" s="131" t="s">
        <v>564</v>
      </c>
      <c r="M563" s="132">
        <v>1</v>
      </c>
      <c r="N563" s="117" t="s">
        <v>81</v>
      </c>
      <c r="O563" s="133">
        <v>0.5</v>
      </c>
      <c r="P563" s="117" t="s">
        <v>112</v>
      </c>
      <c r="Q563" s="163">
        <f t="shared" si="120"/>
        <v>0.5</v>
      </c>
      <c r="R563" s="161">
        <v>1</v>
      </c>
      <c r="S563" s="163">
        <f t="shared" si="121"/>
        <v>1.5</v>
      </c>
      <c r="T563" s="165" t="s">
        <v>48</v>
      </c>
    </row>
    <row r="564" spans="3:20" ht="20.25" customHeight="1">
      <c r="C564" s="109">
        <f>D564</f>
        <v>564</v>
      </c>
      <c r="D564" s="115">
        <f t="shared" si="109"/>
        <v>564</v>
      </c>
      <c r="E564" s="116" t="s">
        <v>775</v>
      </c>
      <c r="F564" s="121">
        <f>D561</f>
        <v>561</v>
      </c>
      <c r="G564" s="118"/>
      <c r="H564" s="118"/>
      <c r="I564" s="117"/>
      <c r="J564" s="117"/>
      <c r="K564" s="131"/>
      <c r="L564" s="131"/>
      <c r="M564" s="132"/>
      <c r="N564" s="117"/>
      <c r="O564" s="133"/>
      <c r="P564" s="117"/>
      <c r="Q564" s="163"/>
      <c r="R564" s="161"/>
      <c r="S564" s="163"/>
      <c r="T564" s="165"/>
    </row>
    <row r="565" spans="3:20" ht="20.25" customHeight="1">
      <c r="C565" s="109"/>
      <c r="D565" s="115">
        <f t="shared" si="109"/>
        <v>565</v>
      </c>
      <c r="E565" s="119" t="s">
        <v>571</v>
      </c>
      <c r="F565" s="121">
        <f t="shared" si="122"/>
        <v>564</v>
      </c>
      <c r="G565" s="118" t="s">
        <v>37</v>
      </c>
      <c r="H565" s="118"/>
      <c r="I565" s="117" t="s">
        <v>560</v>
      </c>
      <c r="J565" s="117" t="str">
        <f>J563</f>
        <v>40NB</v>
      </c>
      <c r="K565" s="131">
        <v>1</v>
      </c>
      <c r="L565" s="131" t="s">
        <v>81</v>
      </c>
      <c r="M565" s="132">
        <v>1</v>
      </c>
      <c r="N565" s="117" t="s">
        <v>81</v>
      </c>
      <c r="O565" s="133">
        <v>0.5</v>
      </c>
      <c r="P565" s="117" t="s">
        <v>112</v>
      </c>
      <c r="Q565" s="163">
        <f t="shared" si="120"/>
        <v>0.5</v>
      </c>
      <c r="R565" s="161">
        <v>1</v>
      </c>
      <c r="S565" s="163">
        <f t="shared" si="121"/>
        <v>1.5</v>
      </c>
      <c r="T565" s="165" t="s">
        <v>48</v>
      </c>
    </row>
    <row r="566" spans="3:20" ht="20.25" customHeight="1">
      <c r="C566" s="109"/>
      <c r="D566" s="115">
        <f t="shared" si="109"/>
        <v>566</v>
      </c>
      <c r="E566" s="119" t="s">
        <v>572</v>
      </c>
      <c r="F566" s="121">
        <f t="shared" si="122"/>
        <v>565</v>
      </c>
      <c r="G566" s="118" t="s">
        <v>115</v>
      </c>
      <c r="H566" s="118"/>
      <c r="I566" s="117">
        <v>10</v>
      </c>
      <c r="J566" s="125" t="s">
        <v>573</v>
      </c>
      <c r="K566" s="131">
        <v>1</v>
      </c>
      <c r="L566" s="131" t="s">
        <v>39</v>
      </c>
      <c r="M566" s="141">
        <f t="shared" ref="M566:M570" si="126">LEFT(J566,SEARCH(" ",J566,1)-1)*K566*3.142/1000</f>
        <v>0.23565</v>
      </c>
      <c r="N566" s="117"/>
      <c r="O566" s="175">
        <f>VLOOKUP(I566,BM!$A$2:$X$104,17,FALSE)</f>
        <v>1.88</v>
      </c>
      <c r="P566" s="117" t="s">
        <v>112</v>
      </c>
      <c r="Q566" s="163">
        <f t="shared" si="120"/>
        <v>0.44302199999999997</v>
      </c>
      <c r="R566" s="161">
        <v>1</v>
      </c>
      <c r="S566" s="163">
        <f t="shared" si="121"/>
        <v>1.443022</v>
      </c>
      <c r="T566" s="165" t="s">
        <v>48</v>
      </c>
    </row>
    <row r="567" spans="3:20" ht="20.25" customHeight="1">
      <c r="C567" s="109"/>
      <c r="D567" s="115">
        <f t="shared" si="109"/>
        <v>567</v>
      </c>
      <c r="E567" s="119" t="s">
        <v>574</v>
      </c>
      <c r="F567" s="121">
        <f t="shared" si="122"/>
        <v>566</v>
      </c>
      <c r="G567" s="118" t="s">
        <v>115</v>
      </c>
      <c r="H567" s="118"/>
      <c r="I567" s="117">
        <v>10</v>
      </c>
      <c r="J567" s="121" t="str">
        <f>J566</f>
        <v>75 MM</v>
      </c>
      <c r="K567" s="131">
        <v>1</v>
      </c>
      <c r="L567" s="131" t="s">
        <v>39</v>
      </c>
      <c r="M567" s="141">
        <f t="shared" si="126"/>
        <v>0.23565</v>
      </c>
      <c r="N567" s="117"/>
      <c r="O567" s="175">
        <f>VLOOKUP(I567,BM!$A$2:$X$104,17,FALSE)</f>
        <v>1.88</v>
      </c>
      <c r="P567" s="117" t="s">
        <v>112</v>
      </c>
      <c r="Q567" s="163">
        <f t="shared" si="120"/>
        <v>0.44302199999999997</v>
      </c>
      <c r="R567" s="161">
        <v>1</v>
      </c>
      <c r="S567" s="163">
        <f t="shared" si="121"/>
        <v>1.443022</v>
      </c>
      <c r="T567" s="165" t="s">
        <v>48</v>
      </c>
    </row>
    <row r="568" spans="3:20" ht="20.25" customHeight="1">
      <c r="C568" s="109"/>
      <c r="D568" s="115">
        <f t="shared" si="109"/>
        <v>568</v>
      </c>
      <c r="E568" s="119" t="s">
        <v>575</v>
      </c>
      <c r="F568" s="121">
        <f t="shared" si="122"/>
        <v>567</v>
      </c>
      <c r="G568" s="118" t="s">
        <v>44</v>
      </c>
      <c r="H568" s="118"/>
      <c r="I568" s="117"/>
      <c r="J568" s="121" t="str">
        <f>J567</f>
        <v>75 MM</v>
      </c>
      <c r="K568" s="131">
        <v>2</v>
      </c>
      <c r="L568" s="131" t="s">
        <v>39</v>
      </c>
      <c r="M568" s="132">
        <v>2</v>
      </c>
      <c r="N568" s="117"/>
      <c r="O568" s="133">
        <v>0.5</v>
      </c>
      <c r="P568" s="117" t="s">
        <v>112</v>
      </c>
      <c r="Q568" s="163">
        <f t="shared" si="120"/>
        <v>1</v>
      </c>
      <c r="R568" s="161">
        <v>1</v>
      </c>
      <c r="S568" s="163">
        <f t="shared" si="121"/>
        <v>2</v>
      </c>
      <c r="T568" s="165" t="s">
        <v>48</v>
      </c>
    </row>
    <row r="569" spans="3:20" ht="20.25" customHeight="1">
      <c r="C569" s="109"/>
      <c r="D569" s="115">
        <f t="shared" si="109"/>
        <v>569</v>
      </c>
      <c r="E569" s="119" t="s">
        <v>576</v>
      </c>
      <c r="F569" s="121">
        <f t="shared" si="122"/>
        <v>568</v>
      </c>
      <c r="G569" s="118" t="s">
        <v>115</v>
      </c>
      <c r="H569" s="118"/>
      <c r="I569" s="117">
        <v>10</v>
      </c>
      <c r="J569" s="121" t="str">
        <f>J568</f>
        <v>75 MM</v>
      </c>
      <c r="K569" s="131">
        <v>1</v>
      </c>
      <c r="L569" s="131" t="s">
        <v>39</v>
      </c>
      <c r="M569" s="141">
        <f t="shared" si="126"/>
        <v>0.23565</v>
      </c>
      <c r="N569" s="117"/>
      <c r="O569" s="175">
        <f>VLOOKUP(I569,BM!$A$2:$X$104,17,FALSE)</f>
        <v>1.88</v>
      </c>
      <c r="P569" s="117" t="s">
        <v>112</v>
      </c>
      <c r="Q569" s="163">
        <f t="shared" si="120"/>
        <v>0.44302199999999997</v>
      </c>
      <c r="R569" s="161">
        <v>1</v>
      </c>
      <c r="S569" s="163">
        <f t="shared" si="121"/>
        <v>1.443022</v>
      </c>
      <c r="T569" s="165" t="s">
        <v>48</v>
      </c>
    </row>
    <row r="570" spans="3:20" ht="20.25" customHeight="1">
      <c r="C570" s="109"/>
      <c r="D570" s="115">
        <f t="shared" si="109"/>
        <v>570</v>
      </c>
      <c r="E570" s="119" t="s">
        <v>577</v>
      </c>
      <c r="F570" s="121">
        <f t="shared" si="122"/>
        <v>569</v>
      </c>
      <c r="G570" s="118" t="s">
        <v>115</v>
      </c>
      <c r="H570" s="118"/>
      <c r="I570" s="117">
        <v>10</v>
      </c>
      <c r="J570" s="121" t="str">
        <f>J569</f>
        <v>75 MM</v>
      </c>
      <c r="K570" s="131">
        <v>1</v>
      </c>
      <c r="L570" s="131" t="s">
        <v>39</v>
      </c>
      <c r="M570" s="141">
        <f t="shared" si="126"/>
        <v>0.23565</v>
      </c>
      <c r="N570" s="117"/>
      <c r="O570" s="175">
        <f>VLOOKUP(I570,BM!$A$2:$X$104,17,FALSE)</f>
        <v>1.88</v>
      </c>
      <c r="P570" s="117" t="s">
        <v>112</v>
      </c>
      <c r="Q570" s="163">
        <f t="shared" si="120"/>
        <v>0.44302199999999997</v>
      </c>
      <c r="R570" s="161">
        <v>1</v>
      </c>
      <c r="S570" s="163">
        <f t="shared" si="121"/>
        <v>1.443022</v>
      </c>
      <c r="T570" s="165" t="s">
        <v>48</v>
      </c>
    </row>
    <row r="571" spans="3:20" ht="20.25" customHeight="1">
      <c r="C571" s="109">
        <f>D571</f>
        <v>571</v>
      </c>
      <c r="D571" s="115">
        <f t="shared" si="109"/>
        <v>571</v>
      </c>
      <c r="E571" s="116" t="s">
        <v>578</v>
      </c>
      <c r="F571" s="121">
        <f>D564</f>
        <v>564</v>
      </c>
      <c r="G571" s="118"/>
      <c r="H571" s="118"/>
      <c r="I571" s="117"/>
      <c r="J571" s="117"/>
      <c r="K571" s="131"/>
      <c r="L571" s="131"/>
      <c r="M571" s="132"/>
      <c r="N571" s="117"/>
      <c r="O571" s="133"/>
      <c r="P571" s="117"/>
      <c r="Q571" s="163"/>
      <c r="R571" s="161"/>
      <c r="S571" s="163"/>
      <c r="T571" s="165"/>
    </row>
    <row r="572" spans="3:20" ht="20.25" customHeight="1">
      <c r="C572" s="109"/>
      <c r="D572" s="115">
        <f t="shared" si="109"/>
        <v>572</v>
      </c>
      <c r="E572" s="119" t="s">
        <v>579</v>
      </c>
      <c r="F572" s="121">
        <f t="shared" si="122"/>
        <v>571</v>
      </c>
      <c r="G572" s="118" t="s">
        <v>149</v>
      </c>
      <c r="H572" s="118"/>
      <c r="I572" s="117">
        <v>20</v>
      </c>
      <c r="J572" s="121" t="str">
        <f>J563</f>
        <v>40NB</v>
      </c>
      <c r="K572" s="131">
        <v>1</v>
      </c>
      <c r="L572" s="131" t="s">
        <v>39</v>
      </c>
      <c r="M572" s="132">
        <v>1</v>
      </c>
      <c r="N572" s="117" t="s">
        <v>564</v>
      </c>
      <c r="O572" s="175">
        <f>VLOOKUP(I572,BM!$A$2:$X$104,23,FALSE)</f>
        <v>8</v>
      </c>
      <c r="P572" s="117" t="s">
        <v>112</v>
      </c>
      <c r="Q572" s="163">
        <f t="shared" si="120"/>
        <v>8</v>
      </c>
      <c r="R572" s="161">
        <v>1</v>
      </c>
      <c r="S572" s="163">
        <f t="shared" si="121"/>
        <v>9</v>
      </c>
      <c r="T572" s="165" t="s">
        <v>48</v>
      </c>
    </row>
    <row r="573" spans="3:20" ht="20.25" customHeight="1">
      <c r="C573" s="109"/>
      <c r="D573" s="115">
        <f t="shared" si="109"/>
        <v>573</v>
      </c>
      <c r="E573" s="119" t="s">
        <v>580</v>
      </c>
      <c r="F573" s="121">
        <f t="shared" si="122"/>
        <v>572</v>
      </c>
      <c r="G573" s="118" t="s">
        <v>63</v>
      </c>
      <c r="H573" s="118"/>
      <c r="I573" s="117" t="s">
        <v>581</v>
      </c>
      <c r="J573" s="121" t="str">
        <f>J563</f>
        <v>40NB</v>
      </c>
      <c r="K573" s="131">
        <v>1</v>
      </c>
      <c r="L573" s="131" t="s">
        <v>485</v>
      </c>
      <c r="M573" s="132">
        <v>1</v>
      </c>
      <c r="N573" s="117" t="s">
        <v>39</v>
      </c>
      <c r="O573" s="133">
        <v>1</v>
      </c>
      <c r="P573" s="117" t="s">
        <v>41</v>
      </c>
      <c r="Q573" s="163">
        <f t="shared" si="120"/>
        <v>1</v>
      </c>
      <c r="R573" s="161"/>
      <c r="S573" s="163">
        <f t="shared" si="121"/>
        <v>1</v>
      </c>
      <c r="T573" s="165" t="s">
        <v>48</v>
      </c>
    </row>
    <row r="574" spans="3:20" ht="20.25" customHeight="1">
      <c r="C574" s="109">
        <f t="shared" ref="C574:C575" si="127">D574</f>
        <v>574</v>
      </c>
      <c r="D574" s="115">
        <f t="shared" si="109"/>
        <v>574</v>
      </c>
      <c r="E574" s="176" t="s">
        <v>582</v>
      </c>
      <c r="F574" s="121"/>
      <c r="G574" s="118"/>
      <c r="H574" s="118"/>
      <c r="I574" s="117"/>
      <c r="J574" s="117"/>
      <c r="K574" s="131"/>
      <c r="L574" s="131"/>
      <c r="M574" s="132"/>
      <c r="N574" s="117"/>
      <c r="O574" s="133"/>
      <c r="P574" s="117"/>
      <c r="Q574" s="163"/>
      <c r="R574" s="161"/>
      <c r="S574" s="163"/>
      <c r="T574" s="165"/>
    </row>
    <row r="575" spans="3:20" ht="20.25" customHeight="1">
      <c r="C575" s="109">
        <f t="shared" si="127"/>
        <v>575</v>
      </c>
      <c r="D575" s="115">
        <f t="shared" si="109"/>
        <v>575</v>
      </c>
      <c r="E575" s="116" t="s">
        <v>583</v>
      </c>
      <c r="F575" s="125">
        <f>D13</f>
        <v>13</v>
      </c>
      <c r="G575" s="118"/>
      <c r="H575" s="118"/>
      <c r="I575" s="117"/>
      <c r="J575" s="117"/>
      <c r="K575" s="131"/>
      <c r="L575" s="131"/>
      <c r="M575" s="132"/>
      <c r="N575" s="117"/>
      <c r="O575" s="133"/>
      <c r="P575" s="117"/>
      <c r="Q575" s="163"/>
      <c r="R575" s="161"/>
      <c r="S575" s="163"/>
      <c r="T575" s="165"/>
    </row>
    <row r="576" spans="3:20" ht="20.25" customHeight="1">
      <c r="C576" s="109"/>
      <c r="D576" s="115">
        <f t="shared" si="109"/>
        <v>576</v>
      </c>
      <c r="E576" s="119" t="s">
        <v>584</v>
      </c>
      <c r="F576" s="121">
        <f t="shared" si="122"/>
        <v>575</v>
      </c>
      <c r="G576" s="118" t="s">
        <v>37</v>
      </c>
      <c r="H576" s="118"/>
      <c r="I576" s="117"/>
      <c r="J576" s="117"/>
      <c r="K576" s="131">
        <v>1</v>
      </c>
      <c r="L576" s="154" t="s">
        <v>39</v>
      </c>
      <c r="M576" s="132">
        <v>1</v>
      </c>
      <c r="N576" s="117"/>
      <c r="O576" s="133">
        <v>4</v>
      </c>
      <c r="P576" s="117" t="s">
        <v>41</v>
      </c>
      <c r="Q576" s="163">
        <f t="shared" si="120"/>
        <v>4</v>
      </c>
      <c r="R576" s="161"/>
      <c r="S576" s="163">
        <f t="shared" si="121"/>
        <v>4</v>
      </c>
      <c r="T576" s="165" t="s">
        <v>48</v>
      </c>
    </row>
    <row r="577" spans="3:20" ht="20.25" customHeight="1">
      <c r="C577" s="109"/>
      <c r="D577" s="115">
        <f t="shared" si="109"/>
        <v>577</v>
      </c>
      <c r="E577" s="119" t="s">
        <v>585</v>
      </c>
      <c r="F577" s="121">
        <f t="shared" si="122"/>
        <v>576</v>
      </c>
      <c r="G577" s="118" t="s">
        <v>44</v>
      </c>
      <c r="H577" s="118"/>
      <c r="I577" s="117">
        <v>50</v>
      </c>
      <c r="J577" s="145" t="s">
        <v>586</v>
      </c>
      <c r="K577" s="131">
        <v>1</v>
      </c>
      <c r="L577" s="131" t="s">
        <v>81</v>
      </c>
      <c r="M577" s="141">
        <f>LEFT(J577,SEARCH(" ",J577,1)-1)*1.28*3.142/1000</f>
        <v>6.2337280000000002</v>
      </c>
      <c r="N577" s="117" t="s">
        <v>139</v>
      </c>
      <c r="O577" s="175">
        <f>VLOOKUP(I577,BM!$A$2:$X$104,2,FALSE)</f>
        <v>0.1</v>
      </c>
      <c r="P577" s="117" t="s">
        <v>112</v>
      </c>
      <c r="Q577" s="163">
        <f t="shared" si="120"/>
        <v>0.62337280000000006</v>
      </c>
      <c r="R577" s="161">
        <v>1</v>
      </c>
      <c r="S577" s="163">
        <f t="shared" si="121"/>
        <v>1.6233728000000001</v>
      </c>
      <c r="T577" s="165" t="s">
        <v>48</v>
      </c>
    </row>
    <row r="578" spans="3:20" ht="20.25" customHeight="1">
      <c r="C578" s="109"/>
      <c r="D578" s="115">
        <f t="shared" si="109"/>
        <v>578</v>
      </c>
      <c r="E578" s="119" t="s">
        <v>587</v>
      </c>
      <c r="F578" s="121">
        <f t="shared" si="122"/>
        <v>577</v>
      </c>
      <c r="G578" s="118" t="s">
        <v>44</v>
      </c>
      <c r="H578" s="118"/>
      <c r="I578" s="121">
        <v>50</v>
      </c>
      <c r="J578" s="145" t="s">
        <v>586</v>
      </c>
      <c r="K578" s="131">
        <v>1</v>
      </c>
      <c r="L578" s="131" t="s">
        <v>81</v>
      </c>
      <c r="M578" s="155">
        <v>1</v>
      </c>
      <c r="N578" s="145" t="s">
        <v>81</v>
      </c>
      <c r="O578" s="175">
        <v>1</v>
      </c>
      <c r="P578" s="145" t="s">
        <v>162</v>
      </c>
      <c r="Q578" s="163">
        <f t="shared" si="120"/>
        <v>1</v>
      </c>
      <c r="R578" s="161">
        <v>1</v>
      </c>
      <c r="S578" s="163">
        <f t="shared" si="121"/>
        <v>2</v>
      </c>
      <c r="T578" s="165" t="s">
        <v>48</v>
      </c>
    </row>
    <row r="579" spans="3:20" ht="20.25" customHeight="1">
      <c r="C579" s="109"/>
      <c r="D579" s="115">
        <f t="shared" ref="D579:D642" si="128">D578+1</f>
        <v>579</v>
      </c>
      <c r="E579" s="119" t="s">
        <v>588</v>
      </c>
      <c r="F579" s="121">
        <f t="shared" si="122"/>
        <v>578</v>
      </c>
      <c r="G579" s="118" t="s">
        <v>52</v>
      </c>
      <c r="H579" s="118"/>
      <c r="I579" s="121">
        <v>50</v>
      </c>
      <c r="J579" s="145" t="s">
        <v>586</v>
      </c>
      <c r="K579" s="131">
        <v>1</v>
      </c>
      <c r="L579" s="131" t="s">
        <v>81</v>
      </c>
      <c r="M579" s="141">
        <f>LEFT(J579,SEARCH(" ",J579,1)-1)*1.28*3.142/1000</f>
        <v>6.2337280000000002</v>
      </c>
      <c r="N579" s="117" t="s">
        <v>139</v>
      </c>
      <c r="O579" s="175">
        <f>VLOOKUP(I579,BM!$A$2:$X$104,3,FALSE)</f>
        <v>0.25</v>
      </c>
      <c r="P579" s="117" t="s">
        <v>112</v>
      </c>
      <c r="Q579" s="163">
        <f t="shared" si="120"/>
        <v>1.558432</v>
      </c>
      <c r="R579" s="161">
        <v>1</v>
      </c>
      <c r="S579" s="163">
        <f t="shared" si="121"/>
        <v>2.5584319999999998</v>
      </c>
      <c r="T579" s="165" t="s">
        <v>48</v>
      </c>
    </row>
    <row r="580" spans="3:20" ht="20.25" customHeight="1">
      <c r="C580" s="109"/>
      <c r="D580" s="115">
        <f t="shared" si="128"/>
        <v>580</v>
      </c>
      <c r="E580" s="119" t="s">
        <v>589</v>
      </c>
      <c r="F580" s="121">
        <f t="shared" si="122"/>
        <v>579</v>
      </c>
      <c r="G580" s="118" t="s">
        <v>61</v>
      </c>
      <c r="H580" s="118"/>
      <c r="I580" s="121">
        <f>I577</f>
        <v>50</v>
      </c>
      <c r="J580" s="145" t="s">
        <v>586</v>
      </c>
      <c r="K580" s="131">
        <v>1</v>
      </c>
      <c r="L580" s="131" t="s">
        <v>81</v>
      </c>
      <c r="M580" s="141">
        <f>LEFT(J580,SEARCH(" ",J580,1)-1)*1.28*3.142/1000</f>
        <v>6.2337280000000002</v>
      </c>
      <c r="N580" s="117" t="s">
        <v>139</v>
      </c>
      <c r="O580" s="175">
        <f>VLOOKUP(I580,BM!$A$2:$X$104,6,FALSE)</f>
        <v>1</v>
      </c>
      <c r="P580" s="117" t="s">
        <v>112</v>
      </c>
      <c r="Q580" s="163">
        <f t="shared" si="120"/>
        <v>6.2337280000000002</v>
      </c>
      <c r="R580" s="161">
        <v>1</v>
      </c>
      <c r="S580" s="163">
        <f t="shared" si="121"/>
        <v>7.2337280000000002</v>
      </c>
      <c r="T580" s="165" t="s">
        <v>48</v>
      </c>
    </row>
    <row r="581" spans="3:20" ht="20.25" customHeight="1">
      <c r="C581" s="109">
        <f>D581</f>
        <v>581</v>
      </c>
      <c r="D581" s="115">
        <f t="shared" si="128"/>
        <v>581</v>
      </c>
      <c r="E581" s="116" t="s">
        <v>590</v>
      </c>
      <c r="F581" s="121">
        <f>D575</f>
        <v>575</v>
      </c>
      <c r="G581" s="118"/>
      <c r="H581" s="118"/>
      <c r="I581" s="117"/>
      <c r="J581" s="117"/>
      <c r="K581" s="131"/>
      <c r="L581" s="131"/>
      <c r="M581" s="132"/>
      <c r="N581" s="117"/>
      <c r="O581" s="133"/>
      <c r="P581" s="117"/>
      <c r="Q581" s="163"/>
      <c r="R581" s="161"/>
      <c r="S581" s="163"/>
      <c r="T581" s="165"/>
    </row>
    <row r="582" spans="3:20" ht="20.25" customHeight="1">
      <c r="C582" s="109"/>
      <c r="D582" s="115">
        <f t="shared" si="128"/>
        <v>582</v>
      </c>
      <c r="E582" s="119" t="s">
        <v>591</v>
      </c>
      <c r="F582" s="121">
        <f t="shared" si="122"/>
        <v>581</v>
      </c>
      <c r="G582" s="118" t="s">
        <v>55</v>
      </c>
      <c r="H582" s="118"/>
      <c r="I582" s="121">
        <f>I580</f>
        <v>50</v>
      </c>
      <c r="J582" s="117" t="str">
        <f>J579</f>
        <v>1550 mm id</v>
      </c>
      <c r="K582" s="131">
        <v>1</v>
      </c>
      <c r="L582" s="131" t="s">
        <v>81</v>
      </c>
      <c r="M582" s="132">
        <v>1</v>
      </c>
      <c r="N582" s="117" t="s">
        <v>39</v>
      </c>
      <c r="O582" s="133">
        <v>10</v>
      </c>
      <c r="P582" s="117" t="s">
        <v>41</v>
      </c>
      <c r="Q582" s="163">
        <f t="shared" si="120"/>
        <v>10</v>
      </c>
      <c r="R582" s="161"/>
      <c r="S582" s="163">
        <f t="shared" si="121"/>
        <v>10</v>
      </c>
      <c r="T582" s="165" t="s">
        <v>48</v>
      </c>
    </row>
    <row r="583" spans="3:20" ht="20.25" customHeight="1">
      <c r="C583" s="109"/>
      <c r="D583" s="115">
        <f t="shared" si="128"/>
        <v>583</v>
      </c>
      <c r="E583" s="119" t="s">
        <v>592</v>
      </c>
      <c r="F583" s="121">
        <f t="shared" si="122"/>
        <v>582</v>
      </c>
      <c r="G583" s="118" t="s">
        <v>44</v>
      </c>
      <c r="H583" s="118"/>
      <c r="I583" s="121">
        <f>I580</f>
        <v>50</v>
      </c>
      <c r="J583" s="117" t="str">
        <f>J580</f>
        <v>1550 mm id</v>
      </c>
      <c r="K583" s="131">
        <v>1</v>
      </c>
      <c r="L583" s="131" t="s">
        <v>81</v>
      </c>
      <c r="M583" s="132">
        <v>1</v>
      </c>
      <c r="N583" s="117" t="s">
        <v>39</v>
      </c>
      <c r="O583" s="133">
        <v>1</v>
      </c>
      <c r="P583" s="117" t="s">
        <v>41</v>
      </c>
      <c r="Q583" s="163">
        <f t="shared" si="120"/>
        <v>1</v>
      </c>
      <c r="R583" s="161"/>
      <c r="S583" s="163">
        <f t="shared" si="121"/>
        <v>1</v>
      </c>
      <c r="T583" s="165" t="s">
        <v>48</v>
      </c>
    </row>
    <row r="584" spans="3:20" ht="20.25" customHeight="1">
      <c r="C584" s="109">
        <f>D584</f>
        <v>584</v>
      </c>
      <c r="D584" s="115">
        <f t="shared" si="128"/>
        <v>584</v>
      </c>
      <c r="E584" s="116" t="s">
        <v>593</v>
      </c>
      <c r="F584" s="121">
        <f>D581</f>
        <v>581</v>
      </c>
      <c r="G584" s="118"/>
      <c r="H584" s="118"/>
      <c r="I584" s="117"/>
      <c r="J584" s="117"/>
      <c r="K584" s="131"/>
      <c r="L584" s="131"/>
      <c r="M584" s="132"/>
      <c r="N584" s="117"/>
      <c r="O584" s="133"/>
      <c r="P584" s="117"/>
      <c r="Q584" s="163"/>
      <c r="R584" s="161"/>
      <c r="S584" s="163"/>
      <c r="T584" s="165"/>
    </row>
    <row r="585" spans="3:20" ht="20.25" customHeight="1">
      <c r="C585" s="109"/>
      <c r="D585" s="115">
        <f t="shared" si="128"/>
        <v>585</v>
      </c>
      <c r="E585" s="119" t="s">
        <v>594</v>
      </c>
      <c r="F585" s="121">
        <f t="shared" si="122"/>
        <v>584</v>
      </c>
      <c r="G585" s="118" t="s">
        <v>44</v>
      </c>
      <c r="H585" s="118"/>
      <c r="I585" s="121">
        <f>I583</f>
        <v>50</v>
      </c>
      <c r="J585" s="117" t="str">
        <f>J583</f>
        <v>1550 mm id</v>
      </c>
      <c r="K585" s="131">
        <v>1</v>
      </c>
      <c r="L585" s="131" t="s">
        <v>81</v>
      </c>
      <c r="M585" s="132">
        <v>1</v>
      </c>
      <c r="N585" s="117" t="s">
        <v>39</v>
      </c>
      <c r="O585" s="133">
        <v>4</v>
      </c>
      <c r="P585" s="117" t="s">
        <v>595</v>
      </c>
      <c r="Q585" s="163">
        <f t="shared" si="120"/>
        <v>4</v>
      </c>
      <c r="R585" s="161"/>
      <c r="S585" s="163">
        <f t="shared" si="121"/>
        <v>4</v>
      </c>
      <c r="T585" s="165" t="s">
        <v>48</v>
      </c>
    </row>
    <row r="586" spans="3:20" ht="20.25" customHeight="1">
      <c r="C586" s="109"/>
      <c r="D586" s="115">
        <f t="shared" si="128"/>
        <v>586</v>
      </c>
      <c r="E586" s="119" t="s">
        <v>593</v>
      </c>
      <c r="F586" s="121">
        <f t="shared" si="122"/>
        <v>585</v>
      </c>
      <c r="G586" s="118" t="s">
        <v>52</v>
      </c>
      <c r="H586" s="118"/>
      <c r="I586" s="121">
        <f>I583</f>
        <v>50</v>
      </c>
      <c r="J586" s="117" t="str">
        <f>J583</f>
        <v>1550 mm id</v>
      </c>
      <c r="K586" s="131">
        <v>1</v>
      </c>
      <c r="L586" s="131" t="s">
        <v>81</v>
      </c>
      <c r="M586" s="141">
        <f>LEFT(J586,SEARCH(" ",J586,1)-1)*1.28*3.142/1000</f>
        <v>6.2337280000000002</v>
      </c>
      <c r="N586" s="117" t="s">
        <v>249</v>
      </c>
      <c r="O586" s="175">
        <f>VLOOKUP(I586,BM!$A$2:$X$104,2,FALSE)</f>
        <v>0.1</v>
      </c>
      <c r="P586" s="117" t="s">
        <v>112</v>
      </c>
      <c r="Q586" s="163">
        <f t="shared" si="120"/>
        <v>0.62337280000000006</v>
      </c>
      <c r="R586" s="161">
        <v>2</v>
      </c>
      <c r="S586" s="163">
        <f t="shared" si="121"/>
        <v>2.6233728000000003</v>
      </c>
      <c r="T586" s="165" t="s">
        <v>48</v>
      </c>
    </row>
    <row r="587" spans="3:20" ht="20.25" customHeight="1">
      <c r="C587" s="109">
        <f>D587</f>
        <v>587</v>
      </c>
      <c r="D587" s="115">
        <f t="shared" si="128"/>
        <v>587</v>
      </c>
      <c r="E587" s="116" t="s">
        <v>596</v>
      </c>
      <c r="F587" s="121">
        <f>D584</f>
        <v>584</v>
      </c>
      <c r="G587" s="118"/>
      <c r="H587" s="118"/>
      <c r="I587" s="117"/>
      <c r="J587" s="117"/>
      <c r="K587" s="131"/>
      <c r="L587" s="131"/>
      <c r="M587" s="132"/>
      <c r="N587" s="117"/>
      <c r="O587" s="133"/>
      <c r="P587" s="117"/>
      <c r="Q587" s="163"/>
      <c r="R587" s="161"/>
      <c r="S587" s="163"/>
      <c r="T587" s="165"/>
    </row>
    <row r="588" spans="3:20" ht="20.25" customHeight="1">
      <c r="C588" s="109"/>
      <c r="D588" s="115">
        <f t="shared" si="128"/>
        <v>588</v>
      </c>
      <c r="E588" s="119" t="s">
        <v>597</v>
      </c>
      <c r="F588" s="121">
        <f t="shared" si="122"/>
        <v>587</v>
      </c>
      <c r="G588" s="118" t="s">
        <v>121</v>
      </c>
      <c r="H588" s="118"/>
      <c r="I588" s="121">
        <v>25</v>
      </c>
      <c r="J588" s="117" t="str">
        <f>J586</f>
        <v>1550 mm id</v>
      </c>
      <c r="K588" s="131">
        <v>1</v>
      </c>
      <c r="L588" s="131" t="s">
        <v>81</v>
      </c>
      <c r="M588" s="141">
        <f>LEFT(J588,SEARCH(" ",J588,1)-1)*1.28*3.142/1000</f>
        <v>6.2337280000000002</v>
      </c>
      <c r="N588" s="117" t="s">
        <v>249</v>
      </c>
      <c r="O588" s="175">
        <f>VLOOKUP(I588,BM!$A$2:$X$104,6,FALSE)</f>
        <v>1</v>
      </c>
      <c r="P588" s="117" t="s">
        <v>112</v>
      </c>
      <c r="Q588" s="163">
        <f t="shared" si="120"/>
        <v>6.2337280000000002</v>
      </c>
      <c r="R588" s="161">
        <v>2</v>
      </c>
      <c r="S588" s="163">
        <f t="shared" si="121"/>
        <v>8.2337279999999993</v>
      </c>
      <c r="T588" s="165" t="s">
        <v>48</v>
      </c>
    </row>
    <row r="589" spans="3:20" ht="20.25" customHeight="1">
      <c r="C589" s="109">
        <f>D589</f>
        <v>589</v>
      </c>
      <c r="D589" s="115">
        <f t="shared" si="128"/>
        <v>589</v>
      </c>
      <c r="E589" s="116" t="s">
        <v>598</v>
      </c>
      <c r="F589" s="121">
        <f>D587</f>
        <v>587</v>
      </c>
      <c r="G589" s="118"/>
      <c r="H589" s="118"/>
      <c r="I589" s="117"/>
      <c r="J589" s="117"/>
      <c r="K589" s="131"/>
      <c r="L589" s="131"/>
      <c r="M589" s="132"/>
      <c r="N589" s="117"/>
      <c r="O589" s="133"/>
      <c r="P589" s="117"/>
      <c r="Q589" s="163"/>
      <c r="R589" s="161"/>
      <c r="S589" s="163"/>
      <c r="T589" s="165"/>
    </row>
    <row r="590" spans="3:20" ht="20.25" customHeight="1">
      <c r="C590" s="109"/>
      <c r="D590" s="115">
        <f t="shared" si="128"/>
        <v>590</v>
      </c>
      <c r="E590" s="119" t="s">
        <v>598</v>
      </c>
      <c r="F590" s="121">
        <f t="shared" si="122"/>
        <v>589</v>
      </c>
      <c r="G590" s="118" t="s">
        <v>111</v>
      </c>
      <c r="H590" s="118"/>
      <c r="I590" s="121">
        <f>I588</f>
        <v>25</v>
      </c>
      <c r="J590" s="117" t="str">
        <f>J588</f>
        <v>1550 mm id</v>
      </c>
      <c r="K590" s="131">
        <v>1</v>
      </c>
      <c r="L590" s="131" t="s">
        <v>81</v>
      </c>
      <c r="M590" s="141">
        <f>LEFT(J590,SEARCH(" ",J590,1)-1)*1.28*3.142/1000</f>
        <v>6.2337280000000002</v>
      </c>
      <c r="N590" s="117" t="s">
        <v>249</v>
      </c>
      <c r="O590" s="175">
        <f>VLOOKUP(I590,BM!$A$2:$X$104,15,FALSE)</f>
        <v>1</v>
      </c>
      <c r="P590" s="117" t="s">
        <v>112</v>
      </c>
      <c r="Q590" s="163">
        <f t="shared" si="120"/>
        <v>6.2337280000000002</v>
      </c>
      <c r="R590" s="161">
        <v>2</v>
      </c>
      <c r="S590" s="163">
        <f t="shared" si="121"/>
        <v>8.2337279999999993</v>
      </c>
      <c r="T590" s="165" t="s">
        <v>48</v>
      </c>
    </row>
    <row r="591" spans="3:20" ht="20.25" customHeight="1">
      <c r="C591" s="109">
        <f>D591</f>
        <v>591</v>
      </c>
      <c r="D591" s="115">
        <f t="shared" si="128"/>
        <v>591</v>
      </c>
      <c r="E591" s="116" t="s">
        <v>599</v>
      </c>
      <c r="F591" s="121">
        <f>D589</f>
        <v>589</v>
      </c>
      <c r="G591" s="118"/>
      <c r="H591" s="118"/>
      <c r="I591" s="117"/>
      <c r="J591" s="117"/>
      <c r="K591" s="131"/>
      <c r="L591" s="131"/>
      <c r="M591" s="132"/>
      <c r="N591" s="117"/>
      <c r="O591" s="133"/>
      <c r="P591" s="117"/>
      <c r="Q591" s="163"/>
      <c r="R591" s="161"/>
      <c r="S591" s="163"/>
      <c r="T591" s="165"/>
    </row>
    <row r="592" spans="3:20" ht="20.25" customHeight="1">
      <c r="C592" s="109"/>
      <c r="D592" s="115">
        <f t="shared" si="128"/>
        <v>592</v>
      </c>
      <c r="E592" s="119" t="s">
        <v>599</v>
      </c>
      <c r="F592" s="121">
        <f t="shared" si="122"/>
        <v>591</v>
      </c>
      <c r="G592" s="118" t="s">
        <v>115</v>
      </c>
      <c r="H592" s="118"/>
      <c r="I592" s="117">
        <v>30</v>
      </c>
      <c r="J592" s="117" t="str">
        <f>J590</f>
        <v>1550 mm id</v>
      </c>
      <c r="K592" s="131">
        <v>1</v>
      </c>
      <c r="L592" s="131" t="s">
        <v>81</v>
      </c>
      <c r="M592" s="141">
        <f>LEFT(J592,SEARCH(" ",J592,1)-1)*1.28*3.142/1000</f>
        <v>6.2337280000000002</v>
      </c>
      <c r="N592" s="117" t="s">
        <v>249</v>
      </c>
      <c r="O592" s="175">
        <f>VLOOKUP(I592,BM!$A$2:$X$104,23,FALSE)</f>
        <v>16.8</v>
      </c>
      <c r="P592" s="117" t="s">
        <v>112</v>
      </c>
      <c r="Q592" s="163">
        <f t="shared" si="120"/>
        <v>104.7266304</v>
      </c>
      <c r="R592" s="161">
        <v>2</v>
      </c>
      <c r="S592" s="163">
        <f t="shared" si="121"/>
        <v>106.7266304</v>
      </c>
      <c r="T592" s="165" t="s">
        <v>48</v>
      </c>
    </row>
    <row r="593" spans="3:20" ht="20.25" customHeight="1">
      <c r="C593" s="109"/>
      <c r="D593" s="115">
        <f t="shared" si="128"/>
        <v>593</v>
      </c>
      <c r="E593" s="119" t="s">
        <v>600</v>
      </c>
      <c r="F593" s="121">
        <f t="shared" si="122"/>
        <v>592</v>
      </c>
      <c r="G593" s="118" t="s">
        <v>299</v>
      </c>
      <c r="H593" s="118"/>
      <c r="I593" s="117">
        <v>16</v>
      </c>
      <c r="J593" s="117" t="str">
        <f>J592</f>
        <v>1550 mm id</v>
      </c>
      <c r="K593" s="131">
        <v>1</v>
      </c>
      <c r="L593" s="131" t="s">
        <v>81</v>
      </c>
      <c r="M593" s="132">
        <v>1</v>
      </c>
      <c r="N593" s="117" t="s">
        <v>39</v>
      </c>
      <c r="O593" s="133">
        <v>4</v>
      </c>
      <c r="P593" s="117" t="s">
        <v>112</v>
      </c>
      <c r="Q593" s="163">
        <f t="shared" si="120"/>
        <v>4</v>
      </c>
      <c r="R593" s="161">
        <v>1</v>
      </c>
      <c r="S593" s="163">
        <f t="shared" si="121"/>
        <v>5</v>
      </c>
      <c r="T593" s="165" t="s">
        <v>48</v>
      </c>
    </row>
    <row r="594" spans="3:20" ht="20.25" customHeight="1">
      <c r="C594" s="109"/>
      <c r="D594" s="115">
        <f t="shared" si="128"/>
        <v>594</v>
      </c>
      <c r="E594" s="119" t="s">
        <v>601</v>
      </c>
      <c r="F594" s="121">
        <f t="shared" si="122"/>
        <v>593</v>
      </c>
      <c r="G594" s="118" t="s">
        <v>115</v>
      </c>
      <c r="H594" s="118"/>
      <c r="I594" s="117">
        <v>16</v>
      </c>
      <c r="J594" s="145" t="s">
        <v>602</v>
      </c>
      <c r="K594" s="131">
        <v>1</v>
      </c>
      <c r="L594" s="131" t="s">
        <v>81</v>
      </c>
      <c r="M594" s="141">
        <f>LEFT(J594,SEARCH(" ",J594,1)-1)/1000</f>
        <v>3</v>
      </c>
      <c r="N594" s="117" t="s">
        <v>249</v>
      </c>
      <c r="O594" s="175">
        <f>VLOOKUP(I594,BM!$A$2:$X$104,22,FALSE)</f>
        <v>2.8</v>
      </c>
      <c r="P594" s="117" t="s">
        <v>112</v>
      </c>
      <c r="Q594" s="163">
        <f t="shared" si="120"/>
        <v>8.3999999999999986</v>
      </c>
      <c r="R594" s="161">
        <v>2</v>
      </c>
      <c r="S594" s="163">
        <f t="shared" si="121"/>
        <v>10.399999999999999</v>
      </c>
      <c r="T594" s="165" t="s">
        <v>48</v>
      </c>
    </row>
    <row r="595" spans="3:20" ht="20.25" customHeight="1">
      <c r="C595" s="109"/>
      <c r="D595" s="115">
        <f t="shared" si="128"/>
        <v>595</v>
      </c>
      <c r="E595" s="119" t="s">
        <v>603</v>
      </c>
      <c r="F595" s="121">
        <f t="shared" si="122"/>
        <v>594</v>
      </c>
      <c r="G595" s="118" t="s">
        <v>44</v>
      </c>
      <c r="H595" s="118"/>
      <c r="I595" s="117">
        <v>16</v>
      </c>
      <c r="J595" s="117" t="str">
        <f>J594</f>
        <v>3000 mm</v>
      </c>
      <c r="K595" s="131">
        <v>1</v>
      </c>
      <c r="L595" s="131" t="s">
        <v>81</v>
      </c>
      <c r="M595" s="132">
        <v>1</v>
      </c>
      <c r="N595" s="117" t="s">
        <v>39</v>
      </c>
      <c r="O595" s="133">
        <v>6</v>
      </c>
      <c r="P595" s="117" t="s">
        <v>112</v>
      </c>
      <c r="Q595" s="163">
        <f t="shared" si="120"/>
        <v>6</v>
      </c>
      <c r="R595" s="161">
        <v>1</v>
      </c>
      <c r="S595" s="163">
        <f t="shared" si="121"/>
        <v>7</v>
      </c>
      <c r="T595" s="165" t="s">
        <v>48</v>
      </c>
    </row>
    <row r="596" spans="3:20" ht="20.25" customHeight="1">
      <c r="C596" s="109"/>
      <c r="D596" s="115">
        <f t="shared" si="128"/>
        <v>596</v>
      </c>
      <c r="E596" s="119" t="s">
        <v>604</v>
      </c>
      <c r="F596" s="121">
        <f t="shared" si="122"/>
        <v>595</v>
      </c>
      <c r="G596" s="118" t="s">
        <v>63</v>
      </c>
      <c r="H596" s="118"/>
      <c r="I596" s="117">
        <v>16</v>
      </c>
      <c r="J596" s="117" t="str">
        <f>J595</f>
        <v>3000 mm</v>
      </c>
      <c r="K596" s="131">
        <v>1</v>
      </c>
      <c r="L596" s="131" t="s">
        <v>81</v>
      </c>
      <c r="M596" s="132">
        <v>1</v>
      </c>
      <c r="N596" s="117" t="s">
        <v>39</v>
      </c>
      <c r="O596" s="133">
        <v>1</v>
      </c>
      <c r="P596" s="117" t="s">
        <v>112</v>
      </c>
      <c r="Q596" s="163">
        <f t="shared" si="120"/>
        <v>1</v>
      </c>
      <c r="R596" s="161">
        <v>1</v>
      </c>
      <c r="S596" s="163">
        <f t="shared" si="121"/>
        <v>2</v>
      </c>
      <c r="T596" s="165" t="s">
        <v>48</v>
      </c>
    </row>
    <row r="597" spans="3:20" ht="20.25" customHeight="1">
      <c r="C597" s="109">
        <f>D597</f>
        <v>597</v>
      </c>
      <c r="D597" s="115">
        <f t="shared" si="128"/>
        <v>597</v>
      </c>
      <c r="E597" s="116" t="s">
        <v>605</v>
      </c>
      <c r="F597" s="121">
        <f>D591</f>
        <v>591</v>
      </c>
      <c r="G597" s="118"/>
      <c r="H597" s="118"/>
      <c r="I597" s="117"/>
      <c r="J597" s="117"/>
      <c r="K597" s="131"/>
      <c r="L597" s="131"/>
      <c r="M597" s="132"/>
      <c r="N597" s="117"/>
      <c r="O597" s="133"/>
      <c r="P597" s="117"/>
      <c r="Q597" s="163"/>
      <c r="R597" s="161"/>
      <c r="S597" s="163"/>
      <c r="T597" s="165"/>
    </row>
    <row r="598" spans="3:20" ht="20.25" customHeight="1">
      <c r="C598" s="109"/>
      <c r="D598" s="115">
        <f t="shared" si="128"/>
        <v>598</v>
      </c>
      <c r="E598" s="119" t="s">
        <v>606</v>
      </c>
      <c r="F598" s="121">
        <f t="shared" si="122"/>
        <v>597</v>
      </c>
      <c r="G598" s="118" t="s">
        <v>55</v>
      </c>
      <c r="H598" s="118"/>
      <c r="I598" s="117"/>
      <c r="J598" s="117" t="str">
        <f>J593</f>
        <v>1550 mm id</v>
      </c>
      <c r="K598" s="131">
        <v>1</v>
      </c>
      <c r="L598" s="131" t="s">
        <v>81</v>
      </c>
      <c r="M598" s="132">
        <v>1</v>
      </c>
      <c r="N598" s="117" t="s">
        <v>39</v>
      </c>
      <c r="O598" s="133">
        <v>3</v>
      </c>
      <c r="P598" s="117" t="s">
        <v>41</v>
      </c>
      <c r="Q598" s="163">
        <f t="shared" si="120"/>
        <v>3</v>
      </c>
      <c r="R598" s="161">
        <v>0</v>
      </c>
      <c r="S598" s="163">
        <f t="shared" si="121"/>
        <v>3</v>
      </c>
      <c r="T598" s="165" t="s">
        <v>48</v>
      </c>
    </row>
    <row r="599" spans="3:20" ht="20.25" customHeight="1">
      <c r="C599" s="109"/>
      <c r="D599" s="115">
        <f t="shared" si="128"/>
        <v>599</v>
      </c>
      <c r="E599" s="119" t="s">
        <v>607</v>
      </c>
      <c r="F599" s="121">
        <f t="shared" si="122"/>
        <v>598</v>
      </c>
      <c r="G599" s="118" t="s">
        <v>55</v>
      </c>
      <c r="H599" s="118"/>
      <c r="I599" s="117"/>
      <c r="J599" s="117" t="str">
        <f>J598</f>
        <v>1550 mm id</v>
      </c>
      <c r="K599" s="131">
        <v>1</v>
      </c>
      <c r="L599" s="131" t="s">
        <v>81</v>
      </c>
      <c r="M599" s="132">
        <v>1</v>
      </c>
      <c r="N599" s="117" t="s">
        <v>39</v>
      </c>
      <c r="O599" s="133">
        <v>4</v>
      </c>
      <c r="P599" s="117" t="s">
        <v>41</v>
      </c>
      <c r="Q599" s="163">
        <f t="shared" si="120"/>
        <v>4</v>
      </c>
      <c r="R599" s="161">
        <v>0</v>
      </c>
      <c r="S599" s="163">
        <f t="shared" si="121"/>
        <v>4</v>
      </c>
      <c r="T599" s="165" t="s">
        <v>48</v>
      </c>
    </row>
    <row r="600" spans="3:20" ht="20.25" customHeight="1">
      <c r="C600" s="109"/>
      <c r="D600" s="115">
        <f t="shared" si="128"/>
        <v>600</v>
      </c>
      <c r="E600" s="119" t="s">
        <v>608</v>
      </c>
      <c r="F600" s="121">
        <f t="shared" si="122"/>
        <v>599</v>
      </c>
      <c r="G600" s="118" t="s">
        <v>44</v>
      </c>
      <c r="H600" s="118"/>
      <c r="I600" s="117"/>
      <c r="J600" s="117" t="str">
        <f>J599</f>
        <v>1550 mm id</v>
      </c>
      <c r="K600" s="131">
        <v>1</v>
      </c>
      <c r="L600" s="131" t="s">
        <v>81</v>
      </c>
      <c r="M600" s="132">
        <v>1</v>
      </c>
      <c r="N600" s="117" t="s">
        <v>39</v>
      </c>
      <c r="O600" s="133">
        <v>0.5</v>
      </c>
      <c r="P600" s="117" t="s">
        <v>41</v>
      </c>
      <c r="Q600" s="163">
        <f t="shared" si="120"/>
        <v>0.5</v>
      </c>
      <c r="R600" s="161">
        <v>0</v>
      </c>
      <c r="S600" s="163">
        <f t="shared" si="121"/>
        <v>0.5</v>
      </c>
      <c r="T600" s="165" t="s">
        <v>48</v>
      </c>
    </row>
    <row r="601" spans="3:20" ht="20.25" customHeight="1">
      <c r="C601" s="109"/>
      <c r="D601" s="115">
        <f t="shared" si="128"/>
        <v>601</v>
      </c>
      <c r="E601" s="119" t="s">
        <v>609</v>
      </c>
      <c r="F601" s="121">
        <f t="shared" si="122"/>
        <v>600</v>
      </c>
      <c r="G601" s="118" t="s">
        <v>55</v>
      </c>
      <c r="H601" s="118"/>
      <c r="I601" s="117" t="s">
        <v>610</v>
      </c>
      <c r="J601" s="117" t="str">
        <f>J600</f>
        <v>1550 mm id</v>
      </c>
      <c r="K601" s="131">
        <v>72</v>
      </c>
      <c r="L601" s="131" t="s">
        <v>611</v>
      </c>
      <c r="M601" s="132">
        <v>1</v>
      </c>
      <c r="N601" s="117" t="s">
        <v>39</v>
      </c>
      <c r="O601" s="133">
        <v>4</v>
      </c>
      <c r="P601" s="117" t="s">
        <v>41</v>
      </c>
      <c r="Q601" s="163">
        <f t="shared" si="120"/>
        <v>4</v>
      </c>
      <c r="R601" s="161">
        <v>0</v>
      </c>
      <c r="S601" s="163">
        <f t="shared" si="121"/>
        <v>4</v>
      </c>
      <c r="T601" s="165" t="s">
        <v>48</v>
      </c>
    </row>
    <row r="602" spans="3:20" ht="20.25" customHeight="1">
      <c r="C602" s="109"/>
      <c r="D602" s="115">
        <f t="shared" si="128"/>
        <v>602</v>
      </c>
      <c r="E602" s="119" t="s">
        <v>612</v>
      </c>
      <c r="F602" s="121">
        <f t="shared" si="122"/>
        <v>601</v>
      </c>
      <c r="G602" s="118" t="s">
        <v>44</v>
      </c>
      <c r="H602" s="118"/>
      <c r="I602" s="117" t="s">
        <v>610</v>
      </c>
      <c r="J602" s="117" t="str">
        <f>J601</f>
        <v>1550 mm id</v>
      </c>
      <c r="K602" s="131">
        <v>1</v>
      </c>
      <c r="L602" s="154" t="s">
        <v>39</v>
      </c>
      <c r="M602" s="132">
        <v>1</v>
      </c>
      <c r="N602" s="117" t="s">
        <v>39</v>
      </c>
      <c r="O602" s="133">
        <v>1</v>
      </c>
      <c r="P602" s="117" t="s">
        <v>41</v>
      </c>
      <c r="Q602" s="163">
        <f t="shared" si="120"/>
        <v>1</v>
      </c>
      <c r="R602" s="161">
        <v>0</v>
      </c>
      <c r="S602" s="163">
        <f t="shared" si="121"/>
        <v>1</v>
      </c>
      <c r="T602" s="165" t="s">
        <v>48</v>
      </c>
    </row>
    <row r="603" spans="3:20" ht="20.25" customHeight="1">
      <c r="C603" s="109">
        <f t="shared" ref="C603:C604" si="129">D603</f>
        <v>603</v>
      </c>
      <c r="D603" s="115">
        <f t="shared" si="128"/>
        <v>603</v>
      </c>
      <c r="E603" s="176" t="s">
        <v>613</v>
      </c>
      <c r="F603" s="125"/>
      <c r="G603" s="118"/>
      <c r="H603" s="118"/>
      <c r="I603" s="117"/>
      <c r="J603" s="117"/>
      <c r="K603" s="131"/>
      <c r="L603" s="131"/>
      <c r="M603" s="132"/>
      <c r="N603" s="117"/>
      <c r="O603" s="133"/>
      <c r="P603" s="117"/>
      <c r="Q603" s="163"/>
      <c r="R603" s="161"/>
      <c r="S603" s="163"/>
      <c r="T603" s="165"/>
    </row>
    <row r="604" spans="3:20" ht="20.25" customHeight="1">
      <c r="C604" s="109">
        <f t="shared" si="129"/>
        <v>604</v>
      </c>
      <c r="D604" s="115">
        <f t="shared" si="128"/>
        <v>604</v>
      </c>
      <c r="E604" s="116" t="s">
        <v>614</v>
      </c>
      <c r="F604" s="121"/>
      <c r="G604" s="118"/>
      <c r="H604" s="118"/>
      <c r="I604" s="117"/>
      <c r="J604" s="117"/>
      <c r="K604" s="131"/>
      <c r="L604" s="131"/>
      <c r="M604" s="132"/>
      <c r="N604" s="117"/>
      <c r="O604" s="133"/>
      <c r="P604" s="117"/>
      <c r="Q604" s="163"/>
      <c r="R604" s="161"/>
      <c r="S604" s="163"/>
      <c r="T604" s="165"/>
    </row>
    <row r="605" spans="3:20" ht="20.25" customHeight="1">
      <c r="C605" s="109"/>
      <c r="D605" s="115">
        <f t="shared" si="128"/>
        <v>605</v>
      </c>
      <c r="E605" s="119" t="s">
        <v>615</v>
      </c>
      <c r="F605" s="121">
        <f t="shared" ref="F605:F642" si="130">D604</f>
        <v>604</v>
      </c>
      <c r="G605" s="118" t="s">
        <v>616</v>
      </c>
      <c r="H605" s="118"/>
      <c r="I605" s="117" t="s">
        <v>617</v>
      </c>
      <c r="J605" s="145" t="s">
        <v>618</v>
      </c>
      <c r="K605" s="131"/>
      <c r="L605" s="131"/>
      <c r="M605" s="132">
        <v>1</v>
      </c>
      <c r="N605" s="117"/>
      <c r="O605" s="133">
        <v>1.5</v>
      </c>
      <c r="P605" s="117" t="s">
        <v>41</v>
      </c>
      <c r="Q605" s="163">
        <f t="shared" ref="Q605:Q642" si="131">M605*O605</f>
        <v>1.5</v>
      </c>
      <c r="R605" s="161">
        <v>0</v>
      </c>
      <c r="S605" s="163">
        <f t="shared" ref="S605:S642" si="132">Q605+R605</f>
        <v>1.5</v>
      </c>
      <c r="T605" s="165" t="s">
        <v>48</v>
      </c>
    </row>
    <row r="606" spans="3:20" ht="20.25" customHeight="1">
      <c r="C606" s="109"/>
      <c r="D606" s="115">
        <f t="shared" si="128"/>
        <v>606</v>
      </c>
      <c r="E606" s="119" t="s">
        <v>619</v>
      </c>
      <c r="F606" s="121">
        <f t="shared" si="130"/>
        <v>605</v>
      </c>
      <c r="G606" s="118" t="s">
        <v>620</v>
      </c>
      <c r="H606" s="118"/>
      <c r="I606" s="117"/>
      <c r="J606" s="145" t="s">
        <v>621</v>
      </c>
      <c r="K606" s="131">
        <v>1</v>
      </c>
      <c r="L606" s="131" t="s">
        <v>81</v>
      </c>
      <c r="M606" s="132">
        <v>19</v>
      </c>
      <c r="N606" s="117" t="s">
        <v>81</v>
      </c>
      <c r="O606" s="133">
        <v>0.5</v>
      </c>
      <c r="P606" s="117" t="s">
        <v>112</v>
      </c>
      <c r="Q606" s="163">
        <f t="shared" si="131"/>
        <v>9.5</v>
      </c>
      <c r="R606" s="161">
        <v>1</v>
      </c>
      <c r="S606" s="163">
        <f t="shared" si="132"/>
        <v>10.5</v>
      </c>
      <c r="T606" s="165" t="s">
        <v>48</v>
      </c>
    </row>
    <row r="607" spans="3:20" ht="20.25" customHeight="1">
      <c r="C607" s="109">
        <f>D607</f>
        <v>607</v>
      </c>
      <c r="D607" s="115">
        <f t="shared" si="128"/>
        <v>607</v>
      </c>
      <c r="E607" s="116" t="s">
        <v>622</v>
      </c>
      <c r="F607" s="121">
        <f>D604</f>
        <v>604</v>
      </c>
      <c r="G607" s="118"/>
      <c r="H607" s="118"/>
      <c r="I607" s="117"/>
      <c r="J607" s="117"/>
      <c r="K607" s="131"/>
      <c r="L607" s="131"/>
      <c r="M607" s="132"/>
      <c r="N607" s="117"/>
      <c r="O607" s="133"/>
      <c r="P607" s="117"/>
      <c r="Q607" s="163"/>
      <c r="R607" s="161"/>
      <c r="S607" s="163"/>
      <c r="T607" s="165"/>
    </row>
    <row r="608" spans="3:20" ht="20.25" customHeight="1">
      <c r="C608" s="109"/>
      <c r="D608" s="115">
        <f t="shared" si="128"/>
        <v>608</v>
      </c>
      <c r="E608" s="119" t="s">
        <v>622</v>
      </c>
      <c r="F608" s="121">
        <f t="shared" si="130"/>
        <v>607</v>
      </c>
      <c r="G608" s="118" t="s">
        <v>623</v>
      </c>
      <c r="H608" s="118"/>
      <c r="I608" s="145" t="s">
        <v>266</v>
      </c>
      <c r="J608" s="145" t="s">
        <v>624</v>
      </c>
      <c r="K608" s="131">
        <v>654</v>
      </c>
      <c r="L608" s="131" t="s">
        <v>81</v>
      </c>
      <c r="M608" s="155">
        <f>K608</f>
        <v>654</v>
      </c>
      <c r="N608" s="117" t="s">
        <v>81</v>
      </c>
      <c r="O608" s="175">
        <f>1/60*5</f>
        <v>8.3333333333333329E-2</v>
      </c>
      <c r="P608" s="117" t="s">
        <v>87</v>
      </c>
      <c r="Q608" s="163">
        <f t="shared" si="131"/>
        <v>54.5</v>
      </c>
      <c r="R608" s="161">
        <v>1</v>
      </c>
      <c r="S608" s="163">
        <f t="shared" si="132"/>
        <v>55.5</v>
      </c>
      <c r="T608" s="165" t="s">
        <v>48</v>
      </c>
    </row>
    <row r="609" spans="3:20" ht="20.25" customHeight="1">
      <c r="C609" s="109"/>
      <c r="D609" s="115">
        <f t="shared" si="128"/>
        <v>609</v>
      </c>
      <c r="E609" s="119" t="s">
        <v>625</v>
      </c>
      <c r="F609" s="121">
        <f t="shared" si="130"/>
        <v>608</v>
      </c>
      <c r="G609" s="118" t="s">
        <v>626</v>
      </c>
      <c r="H609" s="118"/>
      <c r="I609" s="145" t="s">
        <v>266</v>
      </c>
      <c r="J609" s="145" t="s">
        <v>627</v>
      </c>
      <c r="K609" s="131">
        <v>14</v>
      </c>
      <c r="L609" s="131" t="s">
        <v>81</v>
      </c>
      <c r="M609" s="155">
        <f>K609</f>
        <v>14</v>
      </c>
      <c r="N609" s="117" t="s">
        <v>81</v>
      </c>
      <c r="O609" s="175">
        <v>0.5</v>
      </c>
      <c r="P609" s="117" t="s">
        <v>87</v>
      </c>
      <c r="Q609" s="163">
        <f t="shared" si="131"/>
        <v>7</v>
      </c>
      <c r="R609" s="161">
        <v>1</v>
      </c>
      <c r="S609" s="163">
        <f t="shared" si="132"/>
        <v>8</v>
      </c>
      <c r="T609" s="165" t="s">
        <v>48</v>
      </c>
    </row>
    <row r="610" spans="3:20" ht="20.25" customHeight="1">
      <c r="C610" s="109"/>
      <c r="D610" s="115">
        <f t="shared" si="128"/>
        <v>610</v>
      </c>
      <c r="E610" s="119" t="s">
        <v>622</v>
      </c>
      <c r="F610" s="121">
        <f t="shared" si="130"/>
        <v>609</v>
      </c>
      <c r="G610" s="118" t="s">
        <v>623</v>
      </c>
      <c r="H610" s="118"/>
      <c r="I610" s="145" t="s">
        <v>266</v>
      </c>
      <c r="J610" s="117" t="str">
        <f>J608</f>
        <v>7000 lg</v>
      </c>
      <c r="K610" s="131">
        <v>654</v>
      </c>
      <c r="L610" s="131" t="s">
        <v>81</v>
      </c>
      <c r="M610" s="155">
        <f>K610</f>
        <v>654</v>
      </c>
      <c r="N610" s="117" t="s">
        <v>81</v>
      </c>
      <c r="O610" s="175">
        <f>1/60*5</f>
        <v>8.3333333333333329E-2</v>
      </c>
      <c r="P610" s="117" t="s">
        <v>87</v>
      </c>
      <c r="Q610" s="163">
        <f t="shared" si="131"/>
        <v>54.5</v>
      </c>
      <c r="R610" s="161">
        <v>1</v>
      </c>
      <c r="S610" s="163">
        <f t="shared" si="132"/>
        <v>55.5</v>
      </c>
      <c r="T610" s="165" t="s">
        <v>48</v>
      </c>
    </row>
    <row r="611" spans="3:20" ht="20.25" customHeight="1">
      <c r="C611" s="109">
        <f>D611</f>
        <v>611</v>
      </c>
      <c r="D611" s="115">
        <f t="shared" si="128"/>
        <v>611</v>
      </c>
      <c r="E611" s="116" t="s">
        <v>628</v>
      </c>
      <c r="F611" s="121">
        <f>D607</f>
        <v>607</v>
      </c>
      <c r="G611" s="118"/>
      <c r="H611" s="118"/>
      <c r="I611" s="117"/>
      <c r="J611" s="117"/>
      <c r="K611" s="131"/>
      <c r="L611" s="131"/>
      <c r="M611" s="132"/>
      <c r="N611" s="117"/>
      <c r="O611" s="133"/>
      <c r="P611" s="117"/>
      <c r="Q611" s="163"/>
      <c r="R611" s="161"/>
      <c r="S611" s="163"/>
      <c r="T611" s="165"/>
    </row>
    <row r="612" spans="3:20" ht="20.25" customHeight="1">
      <c r="C612" s="109"/>
      <c r="D612" s="115">
        <f t="shared" si="128"/>
        <v>612</v>
      </c>
      <c r="E612" s="119" t="s">
        <v>629</v>
      </c>
      <c r="F612" s="121">
        <f t="shared" si="130"/>
        <v>611</v>
      </c>
      <c r="G612" s="118" t="s">
        <v>44</v>
      </c>
      <c r="H612" s="118"/>
      <c r="I612" s="117">
        <v>8</v>
      </c>
      <c r="J612" s="145" t="s">
        <v>630</v>
      </c>
      <c r="K612" s="131">
        <v>2</v>
      </c>
      <c r="L612" s="131" t="s">
        <v>81</v>
      </c>
      <c r="M612" s="132">
        <v>2</v>
      </c>
      <c r="N612" s="117" t="s">
        <v>81</v>
      </c>
      <c r="O612" s="175">
        <v>3</v>
      </c>
      <c r="P612" s="117" t="s">
        <v>87</v>
      </c>
      <c r="Q612" s="163">
        <f t="shared" si="131"/>
        <v>6</v>
      </c>
      <c r="R612" s="161">
        <v>1</v>
      </c>
      <c r="S612" s="163">
        <f t="shared" si="132"/>
        <v>7</v>
      </c>
      <c r="T612" s="165" t="s">
        <v>48</v>
      </c>
    </row>
    <row r="613" spans="3:20" ht="20.25" customHeight="1">
      <c r="C613" s="109"/>
      <c r="D613" s="115">
        <f t="shared" si="128"/>
        <v>613</v>
      </c>
      <c r="E613" s="119" t="s">
        <v>631</v>
      </c>
      <c r="F613" s="121">
        <f t="shared" si="130"/>
        <v>612</v>
      </c>
      <c r="G613" s="118" t="s">
        <v>115</v>
      </c>
      <c r="H613" s="118"/>
      <c r="I613" s="117">
        <v>8</v>
      </c>
      <c r="J613" s="145" t="s">
        <v>632</v>
      </c>
      <c r="K613" s="131">
        <v>1</v>
      </c>
      <c r="L613" s="154" t="s">
        <v>84</v>
      </c>
      <c r="M613" s="141" t="str">
        <f>LEFT(J613,SEARCH(" ",J613,1)-1)</f>
        <v>60</v>
      </c>
      <c r="N613" s="145" t="s">
        <v>633</v>
      </c>
      <c r="O613" s="175">
        <v>0.25</v>
      </c>
      <c r="P613" s="117" t="s">
        <v>87</v>
      </c>
      <c r="Q613" s="163">
        <f t="shared" si="131"/>
        <v>15</v>
      </c>
      <c r="R613" s="161">
        <v>1</v>
      </c>
      <c r="S613" s="163">
        <f t="shared" si="132"/>
        <v>16</v>
      </c>
      <c r="T613" s="165" t="s">
        <v>48</v>
      </c>
    </row>
    <row r="614" spans="3:20" ht="20.25" customHeight="1">
      <c r="C614" s="109"/>
      <c r="D614" s="115">
        <f t="shared" si="128"/>
        <v>614</v>
      </c>
      <c r="E614" s="122" t="s">
        <v>776</v>
      </c>
      <c r="F614" s="121">
        <f t="shared" si="130"/>
        <v>613</v>
      </c>
      <c r="G614" s="118" t="s">
        <v>61</v>
      </c>
      <c r="H614" s="118"/>
      <c r="I614" s="117">
        <v>1500</v>
      </c>
      <c r="J614" s="117" t="str">
        <f>J613</f>
        <v>60 joints</v>
      </c>
      <c r="K614" s="131">
        <v>1</v>
      </c>
      <c r="L614" s="154" t="s">
        <v>84</v>
      </c>
      <c r="M614" s="141" t="str">
        <f>LEFT(J614,SEARCH(" ",J614,1)-1)</f>
        <v>60</v>
      </c>
      <c r="N614" s="145" t="s">
        <v>633</v>
      </c>
      <c r="O614" s="175">
        <f>VLOOKUP(I614,BM!$A$2:$X$104,9,FALSE)</f>
        <v>0.25</v>
      </c>
      <c r="P614" s="117" t="s">
        <v>87</v>
      </c>
      <c r="Q614" s="163">
        <f t="shared" si="131"/>
        <v>15</v>
      </c>
      <c r="R614" s="161">
        <v>1</v>
      </c>
      <c r="S614" s="163">
        <f t="shared" si="132"/>
        <v>16</v>
      </c>
      <c r="T614" s="165" t="s">
        <v>48</v>
      </c>
    </row>
    <row r="615" spans="3:20" ht="20.25" customHeight="1">
      <c r="C615" s="109">
        <f>D615</f>
        <v>615</v>
      </c>
      <c r="D615" s="115">
        <f t="shared" si="128"/>
        <v>615</v>
      </c>
      <c r="E615" s="116" t="s">
        <v>635</v>
      </c>
      <c r="F615" s="121">
        <f>D611</f>
        <v>611</v>
      </c>
      <c r="G615" s="118"/>
      <c r="H615" s="118"/>
      <c r="I615" s="117"/>
      <c r="J615" s="117"/>
      <c r="K615" s="131"/>
      <c r="L615" s="131"/>
      <c r="M615" s="132"/>
      <c r="N615" s="117"/>
      <c r="O615" s="133"/>
      <c r="P615" s="117"/>
      <c r="Q615" s="163"/>
      <c r="R615" s="161"/>
      <c r="S615" s="163"/>
      <c r="T615" s="165"/>
    </row>
    <row r="616" spans="3:20" ht="20.25" customHeight="1">
      <c r="C616" s="109"/>
      <c r="D616" s="115">
        <f t="shared" si="128"/>
        <v>616</v>
      </c>
      <c r="E616" s="119" t="s">
        <v>636</v>
      </c>
      <c r="F616" s="121">
        <f t="shared" si="130"/>
        <v>615</v>
      </c>
      <c r="G616" s="118" t="s">
        <v>637</v>
      </c>
      <c r="H616" s="118"/>
      <c r="I616" s="117"/>
      <c r="J616" s="117" t="s">
        <v>638</v>
      </c>
      <c r="K616" s="131">
        <v>1</v>
      </c>
      <c r="L616" s="131" t="s">
        <v>81</v>
      </c>
      <c r="M616" s="132">
        <v>1</v>
      </c>
      <c r="N616" s="117" t="s">
        <v>81</v>
      </c>
      <c r="O616" s="133">
        <v>16</v>
      </c>
      <c r="P616" s="117" t="s">
        <v>87</v>
      </c>
      <c r="Q616" s="163">
        <f t="shared" si="131"/>
        <v>16</v>
      </c>
      <c r="R616" s="161">
        <v>1</v>
      </c>
      <c r="S616" s="163">
        <f t="shared" si="132"/>
        <v>17</v>
      </c>
      <c r="T616" s="165" t="s">
        <v>48</v>
      </c>
    </row>
    <row r="617" spans="3:20" ht="20.25" customHeight="1">
      <c r="C617" s="109"/>
      <c r="D617" s="115">
        <f t="shared" si="128"/>
        <v>617</v>
      </c>
      <c r="E617" s="119" t="s">
        <v>639</v>
      </c>
      <c r="F617" s="121">
        <f t="shared" si="130"/>
        <v>616</v>
      </c>
      <c r="G617" s="118" t="s">
        <v>640</v>
      </c>
      <c r="H617" s="118"/>
      <c r="I617" s="117" t="s">
        <v>641</v>
      </c>
      <c r="J617" s="117"/>
      <c r="K617" s="131">
        <v>1</v>
      </c>
      <c r="L617" s="131" t="s">
        <v>81</v>
      </c>
      <c r="M617" s="132">
        <v>1</v>
      </c>
      <c r="N617" s="117" t="s">
        <v>81</v>
      </c>
      <c r="O617" s="133">
        <v>4</v>
      </c>
      <c r="P617" s="117" t="s">
        <v>87</v>
      </c>
      <c r="Q617" s="163">
        <f t="shared" si="131"/>
        <v>4</v>
      </c>
      <c r="R617" s="161">
        <v>1</v>
      </c>
      <c r="S617" s="163">
        <f t="shared" si="132"/>
        <v>5</v>
      </c>
      <c r="T617" s="165" t="s">
        <v>48</v>
      </c>
    </row>
    <row r="618" spans="3:20" ht="20.25" customHeight="1">
      <c r="C618" s="109"/>
      <c r="D618" s="115">
        <f t="shared" si="128"/>
        <v>618</v>
      </c>
      <c r="E618" s="119" t="s">
        <v>642</v>
      </c>
      <c r="F618" s="121">
        <f t="shared" si="130"/>
        <v>617</v>
      </c>
      <c r="G618" s="118" t="s">
        <v>643</v>
      </c>
      <c r="H618" s="118"/>
      <c r="I618" s="117" t="s">
        <v>644</v>
      </c>
      <c r="J618" s="117">
        <v>1490</v>
      </c>
      <c r="K618" s="131">
        <v>1</v>
      </c>
      <c r="L618" s="131" t="s">
        <v>81</v>
      </c>
      <c r="M618" s="132">
        <v>56</v>
      </c>
      <c r="N618" s="117" t="s">
        <v>645</v>
      </c>
      <c r="O618" s="175">
        <f>1/60*10</f>
        <v>0.16666666666666666</v>
      </c>
      <c r="P618" s="117" t="s">
        <v>112</v>
      </c>
      <c r="Q618" s="163">
        <f t="shared" si="131"/>
        <v>9.3333333333333321</v>
      </c>
      <c r="R618" s="161">
        <v>1</v>
      </c>
      <c r="S618" s="163">
        <f t="shared" si="132"/>
        <v>10.333333333333332</v>
      </c>
      <c r="T618" s="165" t="s">
        <v>48</v>
      </c>
    </row>
    <row r="619" spans="3:20" ht="20.25" customHeight="1">
      <c r="C619" s="109">
        <f>D619</f>
        <v>619</v>
      </c>
      <c r="D619" s="115">
        <f t="shared" si="128"/>
        <v>619</v>
      </c>
      <c r="E619" s="116" t="s">
        <v>646</v>
      </c>
      <c r="F619" s="121">
        <f>D615</f>
        <v>615</v>
      </c>
      <c r="G619" s="118"/>
      <c r="H619" s="118"/>
      <c r="I619" s="117"/>
      <c r="J619" s="117"/>
      <c r="K619" s="131"/>
      <c r="L619" s="131"/>
      <c r="M619" s="132"/>
      <c r="N619" s="117"/>
      <c r="O619" s="133"/>
      <c r="P619" s="117"/>
      <c r="Q619" s="163"/>
      <c r="R619" s="161"/>
      <c r="S619" s="163"/>
      <c r="T619" s="165"/>
    </row>
    <row r="620" spans="3:20" ht="20.25" customHeight="1">
      <c r="C620" s="109"/>
      <c r="D620" s="115">
        <f t="shared" si="128"/>
        <v>620</v>
      </c>
      <c r="E620" s="119" t="s">
        <v>647</v>
      </c>
      <c r="F620" s="121">
        <f t="shared" si="130"/>
        <v>619</v>
      </c>
      <c r="G620" s="118" t="s">
        <v>201</v>
      </c>
      <c r="H620" s="118"/>
      <c r="I620" s="117" t="s">
        <v>648</v>
      </c>
      <c r="J620" s="145" t="s">
        <v>649</v>
      </c>
      <c r="K620" s="131">
        <v>1308</v>
      </c>
      <c r="L620" s="131" t="s">
        <v>81</v>
      </c>
      <c r="M620" s="141" t="str">
        <f>LEFT(J620,SEARCH(" ",J620,1)-1)</f>
        <v>1308</v>
      </c>
      <c r="N620" s="117" t="s">
        <v>650</v>
      </c>
      <c r="O620" s="175">
        <f>1/60*1</f>
        <v>1.6666666666666666E-2</v>
      </c>
      <c r="P620" s="117" t="s">
        <v>112</v>
      </c>
      <c r="Q620" s="163">
        <f t="shared" si="131"/>
        <v>21.8</v>
      </c>
      <c r="R620" s="161">
        <v>1</v>
      </c>
      <c r="S620" s="163">
        <f t="shared" si="132"/>
        <v>22.8</v>
      </c>
      <c r="T620" s="165" t="s">
        <v>48</v>
      </c>
    </row>
    <row r="621" spans="3:20" ht="20.25" customHeight="1">
      <c r="C621" s="109"/>
      <c r="D621" s="115">
        <f t="shared" si="128"/>
        <v>621</v>
      </c>
      <c r="E621" s="119" t="s">
        <v>651</v>
      </c>
      <c r="F621" s="121">
        <f t="shared" si="130"/>
        <v>620</v>
      </c>
      <c r="G621" s="118" t="s">
        <v>201</v>
      </c>
      <c r="H621" s="118"/>
      <c r="I621" s="145" t="s">
        <v>652</v>
      </c>
      <c r="J621" s="145" t="s">
        <v>649</v>
      </c>
      <c r="K621" s="131">
        <v>1308</v>
      </c>
      <c r="L621" s="131" t="s">
        <v>81</v>
      </c>
      <c r="M621" s="141" t="str">
        <f>LEFT(J621,SEARCH(" ",J621,1)-1)</f>
        <v>1308</v>
      </c>
      <c r="N621" s="117" t="s">
        <v>650</v>
      </c>
      <c r="O621" s="175">
        <f>1/60*0.5</f>
        <v>8.3333333333333332E-3</v>
      </c>
      <c r="P621" s="117" t="s">
        <v>112</v>
      </c>
      <c r="Q621" s="163">
        <f t="shared" si="131"/>
        <v>10.9</v>
      </c>
      <c r="R621" s="161">
        <v>1</v>
      </c>
      <c r="S621" s="163">
        <f t="shared" si="132"/>
        <v>11.9</v>
      </c>
      <c r="T621" s="165" t="s">
        <v>48</v>
      </c>
    </row>
    <row r="622" spans="3:20" ht="20.25" customHeight="1">
      <c r="C622" s="109"/>
      <c r="D622" s="115">
        <f t="shared" si="128"/>
        <v>622</v>
      </c>
      <c r="E622" s="119" t="s">
        <v>653</v>
      </c>
      <c r="F622" s="121">
        <f t="shared" si="130"/>
        <v>621</v>
      </c>
      <c r="G622" s="118" t="s">
        <v>44</v>
      </c>
      <c r="H622" s="118"/>
      <c r="I622" s="145" t="s">
        <v>652</v>
      </c>
      <c r="J622" s="145" t="s">
        <v>649</v>
      </c>
      <c r="K622" s="131">
        <v>1308</v>
      </c>
      <c r="L622" s="131" t="s">
        <v>81</v>
      </c>
      <c r="M622" s="141" t="str">
        <f>LEFT(J622,SEARCH(" ",J622,1)-1)</f>
        <v>1308</v>
      </c>
      <c r="N622" s="117" t="s">
        <v>654</v>
      </c>
      <c r="O622" s="175">
        <f>1/60*2</f>
        <v>3.3333333333333333E-2</v>
      </c>
      <c r="P622" s="117" t="s">
        <v>112</v>
      </c>
      <c r="Q622" s="163">
        <f t="shared" si="131"/>
        <v>43.6</v>
      </c>
      <c r="R622" s="161">
        <v>1</v>
      </c>
      <c r="S622" s="163">
        <f t="shared" si="132"/>
        <v>44.6</v>
      </c>
      <c r="T622" s="165" t="s">
        <v>48</v>
      </c>
    </row>
    <row r="623" spans="3:20" ht="20.25" customHeight="1">
      <c r="C623" s="109"/>
      <c r="D623" s="115">
        <f t="shared" si="128"/>
        <v>623</v>
      </c>
      <c r="E623" s="119" t="s">
        <v>655</v>
      </c>
      <c r="F623" s="121">
        <f t="shared" si="130"/>
        <v>622</v>
      </c>
      <c r="G623" s="118" t="s">
        <v>656</v>
      </c>
      <c r="H623" s="118"/>
      <c r="I623" s="117" t="s">
        <v>657</v>
      </c>
      <c r="J623" s="145" t="s">
        <v>658</v>
      </c>
      <c r="K623" s="177">
        <v>2616</v>
      </c>
      <c r="L623" s="131" t="s">
        <v>81</v>
      </c>
      <c r="M623" s="141" t="str">
        <f>LEFT(J623,SEARCH(" ",J623,1)-1)</f>
        <v>2616</v>
      </c>
      <c r="N623" s="117" t="s">
        <v>650</v>
      </c>
      <c r="O623" s="175">
        <f>1/60*0.5</f>
        <v>8.3333333333333332E-3</v>
      </c>
      <c r="P623" s="117" t="s">
        <v>112</v>
      </c>
      <c r="Q623" s="163">
        <f t="shared" si="131"/>
        <v>21.8</v>
      </c>
      <c r="R623" s="161">
        <v>1</v>
      </c>
      <c r="S623" s="163">
        <f t="shared" si="132"/>
        <v>22.8</v>
      </c>
      <c r="T623" s="165" t="s">
        <v>48</v>
      </c>
    </row>
    <row r="624" spans="3:20" ht="20.25" customHeight="1">
      <c r="C624" s="109">
        <f>D624</f>
        <v>624</v>
      </c>
      <c r="D624" s="115">
        <f t="shared" si="128"/>
        <v>624</v>
      </c>
      <c r="E624" s="116" t="s">
        <v>659</v>
      </c>
      <c r="F624" s="121">
        <f>D619</f>
        <v>619</v>
      </c>
      <c r="G624" s="118"/>
      <c r="H624" s="118"/>
      <c r="I624" s="117"/>
      <c r="J624" s="117"/>
      <c r="K624" s="131"/>
      <c r="L624" s="131"/>
      <c r="M624" s="132"/>
      <c r="N624" s="117"/>
      <c r="O624" s="133"/>
      <c r="P624" s="117"/>
      <c r="Q624" s="163"/>
      <c r="R624" s="161"/>
      <c r="S624" s="163"/>
      <c r="T624" s="165"/>
    </row>
    <row r="625" spans="3:20" ht="20.25" customHeight="1">
      <c r="C625" s="109"/>
      <c r="D625" s="115">
        <f t="shared" si="128"/>
        <v>625</v>
      </c>
      <c r="E625" s="119" t="s">
        <v>660</v>
      </c>
      <c r="F625" s="121">
        <f t="shared" si="130"/>
        <v>624</v>
      </c>
      <c r="G625" s="118" t="s">
        <v>656</v>
      </c>
      <c r="H625" s="118"/>
      <c r="I625" s="117"/>
      <c r="J625" s="117"/>
      <c r="K625" s="131">
        <v>1</v>
      </c>
      <c r="L625" s="131" t="s">
        <v>39</v>
      </c>
      <c r="M625" s="132">
        <v>1</v>
      </c>
      <c r="N625" s="117" t="s">
        <v>661</v>
      </c>
      <c r="O625" s="133">
        <v>4</v>
      </c>
      <c r="P625" s="117" t="s">
        <v>112</v>
      </c>
      <c r="Q625" s="163">
        <f t="shared" si="131"/>
        <v>4</v>
      </c>
      <c r="R625" s="161">
        <v>1</v>
      </c>
      <c r="S625" s="163">
        <f t="shared" si="132"/>
        <v>5</v>
      </c>
      <c r="T625" s="165" t="s">
        <v>48</v>
      </c>
    </row>
    <row r="626" spans="3:20" ht="20.25" customHeight="1">
      <c r="C626" s="109"/>
      <c r="D626" s="115">
        <f t="shared" si="128"/>
        <v>626</v>
      </c>
      <c r="E626" s="119" t="s">
        <v>662</v>
      </c>
      <c r="F626" s="121">
        <f t="shared" si="130"/>
        <v>625</v>
      </c>
      <c r="G626" s="118" t="s">
        <v>44</v>
      </c>
      <c r="H626" s="118"/>
      <c r="I626" s="117"/>
      <c r="J626" s="117"/>
      <c r="K626" s="131">
        <v>1</v>
      </c>
      <c r="L626" s="131" t="s">
        <v>39</v>
      </c>
      <c r="M626" s="132">
        <v>1</v>
      </c>
      <c r="N626" s="117" t="s">
        <v>661</v>
      </c>
      <c r="O626" s="133">
        <v>1</v>
      </c>
      <c r="P626" s="117" t="s">
        <v>41</v>
      </c>
      <c r="Q626" s="163">
        <f t="shared" si="131"/>
        <v>1</v>
      </c>
      <c r="R626" s="161"/>
      <c r="S626" s="163">
        <f t="shared" si="132"/>
        <v>1</v>
      </c>
      <c r="T626" s="165" t="s">
        <v>48</v>
      </c>
    </row>
    <row r="627" spans="3:20" ht="20.25" customHeight="1">
      <c r="C627" s="109"/>
      <c r="D627" s="115">
        <f t="shared" si="128"/>
        <v>627</v>
      </c>
      <c r="E627" s="119" t="s">
        <v>663</v>
      </c>
      <c r="F627" s="121">
        <f t="shared" si="130"/>
        <v>626</v>
      </c>
      <c r="G627" s="118" t="s">
        <v>224</v>
      </c>
      <c r="H627" s="118"/>
      <c r="I627" s="117"/>
      <c r="J627" s="117"/>
      <c r="K627" s="131">
        <v>1</v>
      </c>
      <c r="L627" s="131" t="s">
        <v>39</v>
      </c>
      <c r="M627" s="132">
        <v>1</v>
      </c>
      <c r="N627" s="117" t="s">
        <v>39</v>
      </c>
      <c r="O627" s="133">
        <v>1</v>
      </c>
      <c r="P627" s="117" t="s">
        <v>162</v>
      </c>
      <c r="Q627" s="163">
        <f t="shared" si="131"/>
        <v>1</v>
      </c>
      <c r="R627" s="161"/>
      <c r="S627" s="163">
        <f t="shared" si="132"/>
        <v>1</v>
      </c>
      <c r="T627" s="165" t="s">
        <v>48</v>
      </c>
    </row>
    <row r="628" spans="3:20" ht="20.25" customHeight="1">
      <c r="C628" s="109">
        <f>D628</f>
        <v>628</v>
      </c>
      <c r="D628" s="115">
        <f t="shared" si="128"/>
        <v>628</v>
      </c>
      <c r="E628" s="116" t="s">
        <v>704</v>
      </c>
      <c r="F628" s="121">
        <f>D624</f>
        <v>624</v>
      </c>
      <c r="G628" s="118"/>
      <c r="H628" s="118"/>
      <c r="I628" s="117"/>
      <c r="J628" s="117"/>
      <c r="K628" s="131"/>
      <c r="L628" s="131"/>
      <c r="M628" s="132"/>
      <c r="N628" s="117"/>
      <c r="O628" s="133"/>
      <c r="P628" s="117"/>
      <c r="Q628" s="163"/>
      <c r="R628" s="161"/>
      <c r="S628" s="163"/>
      <c r="T628" s="165"/>
    </row>
    <row r="629" spans="3:20" ht="20.25" customHeight="1">
      <c r="C629" s="109"/>
      <c r="D629" s="115">
        <f t="shared" si="128"/>
        <v>629</v>
      </c>
      <c r="E629" s="119" t="s">
        <v>705</v>
      </c>
      <c r="F629" s="121">
        <f t="shared" si="130"/>
        <v>628</v>
      </c>
      <c r="G629" s="118" t="s">
        <v>666</v>
      </c>
      <c r="H629" s="118"/>
      <c r="I629" s="117">
        <v>2.77</v>
      </c>
      <c r="J629" s="145" t="s">
        <v>667</v>
      </c>
      <c r="K629" s="131">
        <v>1308</v>
      </c>
      <c r="L629" s="131" t="s">
        <v>81</v>
      </c>
      <c r="M629" s="155">
        <f>K629</f>
        <v>1308</v>
      </c>
      <c r="N629" s="117" t="s">
        <v>668</v>
      </c>
      <c r="O629" s="175">
        <f>1/60*5</f>
        <v>8.3333333333333329E-2</v>
      </c>
      <c r="P629" s="117" t="s">
        <v>112</v>
      </c>
      <c r="Q629" s="163">
        <f t="shared" si="131"/>
        <v>109</v>
      </c>
      <c r="R629" s="161">
        <v>1</v>
      </c>
      <c r="S629" s="163">
        <f t="shared" si="132"/>
        <v>110</v>
      </c>
      <c r="T629" s="165" t="s">
        <v>48</v>
      </c>
    </row>
    <row r="630" spans="3:20" ht="20.25" customHeight="1">
      <c r="C630" s="109"/>
      <c r="D630" s="115">
        <f t="shared" si="128"/>
        <v>630</v>
      </c>
      <c r="E630" s="119" t="s">
        <v>706</v>
      </c>
      <c r="F630" s="121">
        <f t="shared" si="130"/>
        <v>629</v>
      </c>
      <c r="G630" s="118" t="s">
        <v>44</v>
      </c>
      <c r="H630" s="118"/>
      <c r="I630" s="117">
        <v>2.77</v>
      </c>
      <c r="J630" s="117"/>
      <c r="K630" s="131">
        <v>1308</v>
      </c>
      <c r="L630" s="131" t="s">
        <v>81</v>
      </c>
      <c r="M630" s="132">
        <v>1</v>
      </c>
      <c r="N630" s="117" t="s">
        <v>39</v>
      </c>
      <c r="O630" s="133">
        <v>8</v>
      </c>
      <c r="P630" s="117" t="s">
        <v>112</v>
      </c>
      <c r="Q630" s="163">
        <f t="shared" si="131"/>
        <v>8</v>
      </c>
      <c r="R630" s="161">
        <v>1</v>
      </c>
      <c r="S630" s="163">
        <f t="shared" si="132"/>
        <v>9</v>
      </c>
      <c r="T630" s="165" t="s">
        <v>48</v>
      </c>
    </row>
    <row r="631" spans="3:20" ht="20.25" customHeight="1">
      <c r="C631" s="109"/>
      <c r="D631" s="115">
        <f t="shared" si="128"/>
        <v>631</v>
      </c>
      <c r="E631" s="119" t="s">
        <v>707</v>
      </c>
      <c r="F631" s="121">
        <f t="shared" si="130"/>
        <v>630</v>
      </c>
      <c r="G631" s="118" t="s">
        <v>666</v>
      </c>
      <c r="H631" s="118"/>
      <c r="I631" s="117">
        <v>2.77</v>
      </c>
      <c r="J631" s="117"/>
      <c r="K631" s="131">
        <v>1308</v>
      </c>
      <c r="L631" s="131" t="s">
        <v>81</v>
      </c>
      <c r="M631" s="155">
        <f>K631</f>
        <v>1308</v>
      </c>
      <c r="N631" s="117" t="s">
        <v>668</v>
      </c>
      <c r="O631" s="175">
        <f>1/60*5</f>
        <v>8.3333333333333329E-2</v>
      </c>
      <c r="P631" s="117" t="s">
        <v>112</v>
      </c>
      <c r="Q631" s="163">
        <f t="shared" si="131"/>
        <v>109</v>
      </c>
      <c r="R631" s="161">
        <v>1</v>
      </c>
      <c r="S631" s="163">
        <f t="shared" si="132"/>
        <v>110</v>
      </c>
      <c r="T631" s="165" t="s">
        <v>48</v>
      </c>
    </row>
    <row r="632" spans="3:20" ht="20.25" customHeight="1">
      <c r="C632" s="109"/>
      <c r="D632" s="115">
        <f t="shared" si="128"/>
        <v>632</v>
      </c>
      <c r="E632" s="119" t="s">
        <v>708</v>
      </c>
      <c r="F632" s="121">
        <f t="shared" si="130"/>
        <v>631</v>
      </c>
      <c r="G632" s="118" t="s">
        <v>44</v>
      </c>
      <c r="H632" s="118"/>
      <c r="I632" s="117">
        <v>2.77</v>
      </c>
      <c r="J632" s="117"/>
      <c r="K632" s="131">
        <v>1308</v>
      </c>
      <c r="L632" s="131" t="s">
        <v>81</v>
      </c>
      <c r="M632" s="132">
        <v>1</v>
      </c>
      <c r="N632" s="117" t="s">
        <v>39</v>
      </c>
      <c r="O632" s="133">
        <v>8</v>
      </c>
      <c r="P632" s="117" t="s">
        <v>112</v>
      </c>
      <c r="Q632" s="163">
        <f t="shared" si="131"/>
        <v>8</v>
      </c>
      <c r="R632" s="161">
        <v>1</v>
      </c>
      <c r="S632" s="163">
        <f t="shared" si="132"/>
        <v>9</v>
      </c>
      <c r="T632" s="165" t="s">
        <v>48</v>
      </c>
    </row>
    <row r="633" spans="3:20" ht="20.25" customHeight="1">
      <c r="C633" s="109">
        <f>D633</f>
        <v>633</v>
      </c>
      <c r="D633" s="115">
        <f t="shared" si="128"/>
        <v>633</v>
      </c>
      <c r="E633" s="116" t="s">
        <v>672</v>
      </c>
      <c r="F633" s="121">
        <f>D628</f>
        <v>628</v>
      </c>
      <c r="G633" s="118"/>
      <c r="H633" s="118"/>
      <c r="I633" s="117"/>
      <c r="J633" s="117"/>
      <c r="K633" s="131"/>
      <c r="L633" s="131"/>
      <c r="M633" s="132"/>
      <c r="N633" s="117"/>
      <c r="O633" s="133"/>
      <c r="P633" s="117"/>
      <c r="Q633" s="163"/>
      <c r="R633" s="161"/>
      <c r="S633" s="163"/>
      <c r="T633" s="165"/>
    </row>
    <row r="634" spans="3:20" ht="20.25" customHeight="1">
      <c r="C634" s="109"/>
      <c r="D634" s="115">
        <f t="shared" si="128"/>
        <v>634</v>
      </c>
      <c r="E634" s="119" t="s">
        <v>709</v>
      </c>
      <c r="F634" s="121">
        <f t="shared" si="130"/>
        <v>633</v>
      </c>
      <c r="G634" s="118" t="s">
        <v>666</v>
      </c>
      <c r="H634" s="118"/>
      <c r="I634" s="117">
        <v>2.77</v>
      </c>
      <c r="J634" s="117"/>
      <c r="K634" s="131">
        <v>1308</v>
      </c>
      <c r="L634" s="131" t="s">
        <v>81</v>
      </c>
      <c r="M634" s="155">
        <f>K634</f>
        <v>1308</v>
      </c>
      <c r="N634" s="117" t="s">
        <v>668</v>
      </c>
      <c r="O634" s="175">
        <f>1/60*5</f>
        <v>8.3333333333333329E-2</v>
      </c>
      <c r="P634" s="117" t="s">
        <v>112</v>
      </c>
      <c r="Q634" s="163">
        <f t="shared" si="131"/>
        <v>109</v>
      </c>
      <c r="R634" s="161">
        <v>1</v>
      </c>
      <c r="S634" s="163">
        <f t="shared" si="132"/>
        <v>110</v>
      </c>
      <c r="T634" s="165" t="s">
        <v>48</v>
      </c>
    </row>
    <row r="635" spans="3:20" ht="20.25" customHeight="1">
      <c r="C635" s="109"/>
      <c r="D635" s="115">
        <f t="shared" si="128"/>
        <v>635</v>
      </c>
      <c r="E635" s="119" t="s">
        <v>710</v>
      </c>
      <c r="F635" s="121">
        <f t="shared" si="130"/>
        <v>634</v>
      </c>
      <c r="G635" s="118" t="s">
        <v>44</v>
      </c>
      <c r="H635" s="118"/>
      <c r="I635" s="117">
        <v>2.77</v>
      </c>
      <c r="J635" s="117"/>
      <c r="K635" s="131">
        <v>1308</v>
      </c>
      <c r="L635" s="131" t="s">
        <v>81</v>
      </c>
      <c r="M635" s="132">
        <v>1</v>
      </c>
      <c r="N635" s="117" t="s">
        <v>39</v>
      </c>
      <c r="O635" s="133">
        <v>8</v>
      </c>
      <c r="P635" s="117" t="s">
        <v>112</v>
      </c>
      <c r="Q635" s="163">
        <f t="shared" si="131"/>
        <v>8</v>
      </c>
      <c r="R635" s="161">
        <v>1</v>
      </c>
      <c r="S635" s="163">
        <f t="shared" si="132"/>
        <v>9</v>
      </c>
      <c r="T635" s="165" t="s">
        <v>48</v>
      </c>
    </row>
    <row r="636" spans="3:20" ht="20.25" customHeight="1">
      <c r="C636" s="109"/>
      <c r="D636" s="115">
        <f t="shared" si="128"/>
        <v>636</v>
      </c>
      <c r="E636" s="119" t="s">
        <v>711</v>
      </c>
      <c r="F636" s="121">
        <f t="shared" si="130"/>
        <v>635</v>
      </c>
      <c r="G636" s="118" t="s">
        <v>666</v>
      </c>
      <c r="H636" s="118"/>
      <c r="I636" s="117">
        <v>2.77</v>
      </c>
      <c r="J636" s="117"/>
      <c r="K636" s="131">
        <v>1308</v>
      </c>
      <c r="L636" s="131" t="s">
        <v>81</v>
      </c>
      <c r="M636" s="155">
        <f>K636</f>
        <v>1308</v>
      </c>
      <c r="N636" s="117" t="s">
        <v>668</v>
      </c>
      <c r="O636" s="175">
        <f>1/60*5</f>
        <v>8.3333333333333329E-2</v>
      </c>
      <c r="P636" s="117" t="s">
        <v>112</v>
      </c>
      <c r="Q636" s="163">
        <f t="shared" si="131"/>
        <v>109</v>
      </c>
      <c r="R636" s="161">
        <v>1</v>
      </c>
      <c r="S636" s="163">
        <f t="shared" si="132"/>
        <v>110</v>
      </c>
      <c r="T636" s="165" t="s">
        <v>48</v>
      </c>
    </row>
    <row r="637" spans="3:20" ht="20.25" customHeight="1">
      <c r="C637" s="109"/>
      <c r="D637" s="115">
        <f t="shared" si="128"/>
        <v>637</v>
      </c>
      <c r="E637" s="119" t="s">
        <v>712</v>
      </c>
      <c r="F637" s="121">
        <f t="shared" si="130"/>
        <v>636</v>
      </c>
      <c r="G637" s="118" t="s">
        <v>44</v>
      </c>
      <c r="H637" s="118"/>
      <c r="I637" s="117">
        <v>2.77</v>
      </c>
      <c r="J637" s="117"/>
      <c r="K637" s="131">
        <v>1308</v>
      </c>
      <c r="L637" s="131" t="s">
        <v>81</v>
      </c>
      <c r="M637" s="132">
        <v>1</v>
      </c>
      <c r="N637" s="117" t="s">
        <v>39</v>
      </c>
      <c r="O637" s="133">
        <v>8</v>
      </c>
      <c r="P637" s="117" t="s">
        <v>112</v>
      </c>
      <c r="Q637" s="163">
        <f t="shared" si="131"/>
        <v>8</v>
      </c>
      <c r="R637" s="161">
        <v>1</v>
      </c>
      <c r="S637" s="163">
        <f t="shared" si="132"/>
        <v>9</v>
      </c>
      <c r="T637" s="165" t="s">
        <v>48</v>
      </c>
    </row>
    <row r="638" spans="3:20" ht="20.25" customHeight="1">
      <c r="C638" s="109">
        <f t="shared" ref="C638:C639" si="133">D638</f>
        <v>638</v>
      </c>
      <c r="D638" s="115">
        <f t="shared" si="128"/>
        <v>638</v>
      </c>
      <c r="E638" s="120" t="s">
        <v>777</v>
      </c>
      <c r="F638" s="121"/>
      <c r="G638" s="118"/>
      <c r="H638" s="118"/>
      <c r="I638" s="117"/>
      <c r="J638" s="117"/>
      <c r="K638" s="131"/>
      <c r="L638" s="131"/>
      <c r="M638" s="132"/>
      <c r="N638" s="117"/>
      <c r="O638" s="133"/>
      <c r="P638" s="117"/>
      <c r="Q638" s="163"/>
      <c r="R638" s="161"/>
      <c r="S638" s="163"/>
      <c r="T638" s="165"/>
    </row>
    <row r="639" spans="3:20" ht="20.25" customHeight="1">
      <c r="C639" s="109">
        <f t="shared" si="133"/>
        <v>639</v>
      </c>
      <c r="D639" s="115">
        <f t="shared" si="128"/>
        <v>639</v>
      </c>
      <c r="E639" s="119" t="s">
        <v>778</v>
      </c>
      <c r="F639" s="121"/>
      <c r="G639" s="118"/>
      <c r="H639" s="118"/>
      <c r="I639" s="117"/>
      <c r="J639" s="117"/>
      <c r="K639" s="131">
        <v>1</v>
      </c>
      <c r="L639" s="154" t="s">
        <v>39</v>
      </c>
      <c r="M639" s="132">
        <v>1</v>
      </c>
      <c r="N639" s="145" t="s">
        <v>48</v>
      </c>
      <c r="O639" s="133">
        <v>6</v>
      </c>
      <c r="P639" s="145" t="s">
        <v>48</v>
      </c>
      <c r="Q639" s="163">
        <f t="shared" si="131"/>
        <v>6</v>
      </c>
      <c r="R639" s="161"/>
      <c r="S639" s="163">
        <f t="shared" si="132"/>
        <v>6</v>
      </c>
      <c r="T639" s="165" t="s">
        <v>48</v>
      </c>
    </row>
    <row r="640" spans="3:20" ht="20.25" customHeight="1">
      <c r="C640" s="109"/>
      <c r="D640" s="115">
        <f t="shared" si="128"/>
        <v>640</v>
      </c>
      <c r="E640" s="119" t="s">
        <v>777</v>
      </c>
      <c r="F640" s="121">
        <f t="shared" si="130"/>
        <v>639</v>
      </c>
      <c r="G640" s="118" t="s">
        <v>656</v>
      </c>
      <c r="H640" s="118"/>
      <c r="I640" s="117"/>
      <c r="J640" s="117" t="s">
        <v>407</v>
      </c>
      <c r="K640" s="131">
        <v>1</v>
      </c>
      <c r="L640" s="131" t="s">
        <v>39</v>
      </c>
      <c r="M640" s="132">
        <v>1</v>
      </c>
      <c r="N640" s="117" t="s">
        <v>661</v>
      </c>
      <c r="O640" s="133">
        <v>12</v>
      </c>
      <c r="P640" s="117" t="s">
        <v>112</v>
      </c>
      <c r="Q640" s="163">
        <f t="shared" si="131"/>
        <v>12</v>
      </c>
      <c r="R640" s="161">
        <v>1</v>
      </c>
      <c r="S640" s="163">
        <f t="shared" si="132"/>
        <v>13</v>
      </c>
      <c r="T640" s="165" t="s">
        <v>48</v>
      </c>
    </row>
    <row r="641" spans="3:20" ht="20.25" customHeight="1">
      <c r="C641" s="109"/>
      <c r="D641" s="115">
        <f t="shared" si="128"/>
        <v>641</v>
      </c>
      <c r="E641" s="119" t="s">
        <v>779</v>
      </c>
      <c r="F641" s="121">
        <f t="shared" si="130"/>
        <v>640</v>
      </c>
      <c r="G641" s="118" t="s">
        <v>348</v>
      </c>
      <c r="H641" s="118"/>
      <c r="I641" s="117"/>
      <c r="J641" s="117" t="str">
        <f>J640</f>
        <v>6130 lg</v>
      </c>
      <c r="K641" s="131">
        <v>1</v>
      </c>
      <c r="L641" s="131" t="s">
        <v>39</v>
      </c>
      <c r="M641" s="132">
        <v>1</v>
      </c>
      <c r="N641" s="117" t="s">
        <v>661</v>
      </c>
      <c r="O641" s="133">
        <v>1</v>
      </c>
      <c r="P641" s="117" t="s">
        <v>41</v>
      </c>
      <c r="Q641" s="163">
        <f t="shared" si="131"/>
        <v>1</v>
      </c>
      <c r="R641" s="161">
        <v>0</v>
      </c>
      <c r="S641" s="163">
        <f t="shared" si="132"/>
        <v>1</v>
      </c>
      <c r="T641" s="165" t="s">
        <v>41</v>
      </c>
    </row>
    <row r="642" spans="3:20" ht="20.25" customHeight="1">
      <c r="C642" s="109"/>
      <c r="D642" s="115">
        <f t="shared" si="128"/>
        <v>642</v>
      </c>
      <c r="E642" s="119" t="s">
        <v>680</v>
      </c>
      <c r="F642" s="121">
        <f t="shared" si="130"/>
        <v>641</v>
      </c>
      <c r="G642" s="118" t="s">
        <v>640</v>
      </c>
      <c r="H642" s="118"/>
      <c r="I642" s="117"/>
      <c r="J642" s="117" t="str">
        <f>J641</f>
        <v>6130 lg</v>
      </c>
      <c r="K642" s="131">
        <v>1</v>
      </c>
      <c r="L642" s="131" t="s">
        <v>39</v>
      </c>
      <c r="M642" s="132">
        <v>1</v>
      </c>
      <c r="N642" s="117" t="s">
        <v>661</v>
      </c>
      <c r="O642" s="133">
        <v>8</v>
      </c>
      <c r="P642" s="117" t="s">
        <v>112</v>
      </c>
      <c r="Q642" s="163">
        <f t="shared" si="131"/>
        <v>8</v>
      </c>
      <c r="R642" s="161">
        <v>0</v>
      </c>
      <c r="S642" s="163">
        <f t="shared" si="132"/>
        <v>8</v>
      </c>
      <c r="T642" s="165" t="s">
        <v>48</v>
      </c>
    </row>
    <row r="643" spans="3:20" ht="20.25" customHeight="1">
      <c r="C643" s="109">
        <f t="shared" ref="C643:C644" si="134">D643</f>
        <v>643</v>
      </c>
      <c r="D643" s="115">
        <f t="shared" ref="D643:D644" si="135">D642+1</f>
        <v>643</v>
      </c>
      <c r="E643" s="111" t="s">
        <v>780</v>
      </c>
      <c r="F643" s="121"/>
      <c r="G643" s="118"/>
      <c r="H643" s="118"/>
      <c r="I643" s="117"/>
      <c r="J643" s="117"/>
      <c r="K643" s="131"/>
      <c r="L643" s="131"/>
      <c r="M643" s="132"/>
      <c r="N643" s="117"/>
      <c r="O643" s="133"/>
      <c r="P643" s="117"/>
      <c r="Q643" s="163"/>
      <c r="R643" s="161"/>
      <c r="S643" s="163"/>
      <c r="T643" s="162"/>
    </row>
    <row r="644" spans="3:20" ht="20.25" customHeight="1">
      <c r="C644" s="109">
        <f t="shared" si="134"/>
        <v>644</v>
      </c>
      <c r="D644" s="115">
        <f t="shared" si="135"/>
        <v>644</v>
      </c>
      <c r="E644" s="120" t="s">
        <v>35</v>
      </c>
      <c r="F644" s="121">
        <f>D628</f>
        <v>628</v>
      </c>
      <c r="G644" s="118"/>
      <c r="H644" s="118"/>
      <c r="I644" s="117"/>
      <c r="J644" s="117"/>
      <c r="K644" s="130"/>
      <c r="L644" s="131"/>
      <c r="M644" s="132"/>
      <c r="N644" s="117"/>
      <c r="O644" s="133"/>
      <c r="P644" s="117"/>
      <c r="Q644" s="160"/>
      <c r="R644" s="161"/>
      <c r="S644" s="160"/>
      <c r="T644" s="162"/>
    </row>
    <row r="645" spans="3:20" ht="20.25" customHeight="1">
      <c r="C645" s="109"/>
      <c r="D645" s="115">
        <f t="shared" ref="D645:D707" si="136">D644+1</f>
        <v>645</v>
      </c>
      <c r="E645" s="119" t="s">
        <v>735</v>
      </c>
      <c r="F645" s="117"/>
      <c r="G645" s="118" t="s">
        <v>37</v>
      </c>
      <c r="H645" s="118"/>
      <c r="I645" s="134">
        <v>24</v>
      </c>
      <c r="J645" s="134" t="s">
        <v>38</v>
      </c>
      <c r="K645" s="135">
        <v>1</v>
      </c>
      <c r="L645" s="136" t="s">
        <v>39</v>
      </c>
      <c r="M645" s="137">
        <v>1</v>
      </c>
      <c r="N645" s="134" t="s">
        <v>40</v>
      </c>
      <c r="O645" s="138">
        <v>4</v>
      </c>
      <c r="P645" s="134" t="s">
        <v>41</v>
      </c>
      <c r="Q645" s="163">
        <f>M645*O645</f>
        <v>4</v>
      </c>
      <c r="R645" s="164"/>
      <c r="S645" s="163">
        <f>Q645+R645</f>
        <v>4</v>
      </c>
      <c r="T645" s="165" t="s">
        <v>42</v>
      </c>
    </row>
    <row r="646" spans="3:20" ht="20.25" customHeight="1">
      <c r="C646" s="109"/>
      <c r="D646" s="115">
        <f t="shared" si="136"/>
        <v>646</v>
      </c>
      <c r="E646" s="122" t="s">
        <v>736</v>
      </c>
      <c r="F646" s="121">
        <f t="shared" ref="F646:F659" si="137">D645</f>
        <v>645</v>
      </c>
      <c r="G646" s="118" t="s">
        <v>44</v>
      </c>
      <c r="H646" s="118"/>
      <c r="I646" s="117">
        <v>24</v>
      </c>
      <c r="J646" s="139" t="s">
        <v>45</v>
      </c>
      <c r="K646" s="140">
        <v>1</v>
      </c>
      <c r="L646" s="131" t="s">
        <v>39</v>
      </c>
      <c r="M646" s="141">
        <f>LEFT(J646,SEARCH(" ",J646,1)-1)*K646*0.001</f>
        <v>6.7229999999999999</v>
      </c>
      <c r="N646" s="142" t="s">
        <v>46</v>
      </c>
      <c r="O646" s="143">
        <f>VLOOKUP(I646,BM!$A$2:$X$104,2,FALSE)</f>
        <v>0.1</v>
      </c>
      <c r="P646" s="144" t="s">
        <v>47</v>
      </c>
      <c r="Q646" s="163">
        <f t="shared" ref="Q646" si="138">M646*O646</f>
        <v>0.67230000000000001</v>
      </c>
      <c r="R646" s="166">
        <v>1</v>
      </c>
      <c r="S646" s="163">
        <f t="shared" ref="S646:S659" si="139">Q646+R646</f>
        <v>1.6722999999999999</v>
      </c>
      <c r="T646" s="167" t="s">
        <v>162</v>
      </c>
    </row>
    <row r="647" spans="3:20" ht="20.25" customHeight="1">
      <c r="C647" s="109"/>
      <c r="D647" s="115">
        <f t="shared" si="136"/>
        <v>647</v>
      </c>
      <c r="E647" s="122" t="s">
        <v>737</v>
      </c>
      <c r="F647" s="121">
        <f t="shared" si="137"/>
        <v>646</v>
      </c>
      <c r="G647" s="118" t="s">
        <v>44</v>
      </c>
      <c r="H647" s="118"/>
      <c r="I647" s="117">
        <v>24</v>
      </c>
      <c r="J647" s="125"/>
      <c r="K647" s="130">
        <v>1</v>
      </c>
      <c r="L647" s="131" t="s">
        <v>50</v>
      </c>
      <c r="M647" s="141">
        <v>1</v>
      </c>
      <c r="N647" s="145" t="s">
        <v>39</v>
      </c>
      <c r="O647" s="143">
        <v>1</v>
      </c>
      <c r="P647" s="145" t="s">
        <v>41</v>
      </c>
      <c r="Q647" s="163">
        <v>1</v>
      </c>
      <c r="R647" s="161"/>
      <c r="S647" s="163">
        <f t="shared" si="139"/>
        <v>1</v>
      </c>
      <c r="T647" s="165" t="s">
        <v>42</v>
      </c>
    </row>
    <row r="648" spans="3:20" ht="20.25" customHeight="1">
      <c r="C648" s="109"/>
      <c r="D648" s="115">
        <f t="shared" si="136"/>
        <v>648</v>
      </c>
      <c r="E648" s="119" t="s">
        <v>738</v>
      </c>
      <c r="F648" s="121">
        <f t="shared" si="137"/>
        <v>647</v>
      </c>
      <c r="G648" s="118" t="s">
        <v>52</v>
      </c>
      <c r="H648" s="118"/>
      <c r="I648" s="117">
        <v>24</v>
      </c>
      <c r="J648" s="146" t="str">
        <f>J646</f>
        <v>6723 MM</v>
      </c>
      <c r="K648" s="130">
        <v>1</v>
      </c>
      <c r="L648" s="131" t="s">
        <v>50</v>
      </c>
      <c r="M648" s="141">
        <f>LEFT(J648,SEARCH(" ",J648,1)-1)*K648*0.001</f>
        <v>6.7229999999999999</v>
      </c>
      <c r="N648" s="117" t="s">
        <v>46</v>
      </c>
      <c r="O648" s="143">
        <f>VLOOKUP(I648,BM!$A$2:$X$104,3,FALSE)</f>
        <v>0.25</v>
      </c>
      <c r="P648" s="147" t="s">
        <v>53</v>
      </c>
      <c r="Q648" s="163">
        <f t="shared" ref="Q648:Q659" si="140">M648*O648</f>
        <v>1.68075</v>
      </c>
      <c r="R648" s="166">
        <v>1</v>
      </c>
      <c r="S648" s="163">
        <f t="shared" si="139"/>
        <v>2.6807499999999997</v>
      </c>
      <c r="T648" s="167" t="s">
        <v>162</v>
      </c>
    </row>
    <row r="649" spans="3:20" ht="20.25" customHeight="1">
      <c r="C649" s="109"/>
      <c r="D649" s="115">
        <f t="shared" si="136"/>
        <v>649</v>
      </c>
      <c r="E649" s="122" t="s">
        <v>739</v>
      </c>
      <c r="F649" s="121">
        <f t="shared" si="137"/>
        <v>648</v>
      </c>
      <c r="G649" s="118" t="s">
        <v>55</v>
      </c>
      <c r="H649" s="118"/>
      <c r="I649" s="117">
        <v>24</v>
      </c>
      <c r="J649" s="139" t="s">
        <v>740</v>
      </c>
      <c r="K649" s="130">
        <v>1</v>
      </c>
      <c r="L649" s="131" t="s">
        <v>50</v>
      </c>
      <c r="M649" s="148">
        <v>1</v>
      </c>
      <c r="N649" s="117" t="s">
        <v>39</v>
      </c>
      <c r="O649" s="149">
        <v>10</v>
      </c>
      <c r="P649" s="147" t="s">
        <v>41</v>
      </c>
      <c r="Q649" s="163">
        <f t="shared" si="140"/>
        <v>10</v>
      </c>
      <c r="R649" s="168"/>
      <c r="S649" s="163">
        <f t="shared" si="139"/>
        <v>10</v>
      </c>
      <c r="T649" s="167" t="s">
        <v>42</v>
      </c>
    </row>
    <row r="650" spans="3:20" ht="20.25" customHeight="1">
      <c r="C650" s="109"/>
      <c r="D650" s="115">
        <f t="shared" si="136"/>
        <v>650</v>
      </c>
      <c r="E650" s="119" t="s">
        <v>56</v>
      </c>
      <c r="F650" s="121">
        <f t="shared" si="137"/>
        <v>649</v>
      </c>
      <c r="G650" s="118" t="s">
        <v>44</v>
      </c>
      <c r="H650" s="118"/>
      <c r="I650" s="117">
        <v>24</v>
      </c>
      <c r="J650" s="146" t="str">
        <f t="shared" ref="J650:J656" si="141">J649</f>
        <v>1664 id</v>
      </c>
      <c r="K650" s="130">
        <v>1</v>
      </c>
      <c r="L650" s="131" t="s">
        <v>50</v>
      </c>
      <c r="M650" s="132">
        <v>1</v>
      </c>
      <c r="N650" s="117" t="s">
        <v>39</v>
      </c>
      <c r="O650" s="149">
        <v>1</v>
      </c>
      <c r="P650" s="147" t="s">
        <v>41</v>
      </c>
      <c r="Q650" s="163">
        <f t="shared" si="140"/>
        <v>1</v>
      </c>
      <c r="R650" s="166"/>
      <c r="S650" s="163">
        <f t="shared" si="139"/>
        <v>1</v>
      </c>
      <c r="T650" s="167" t="s">
        <v>42</v>
      </c>
    </row>
    <row r="651" spans="3:20" ht="20.25" customHeight="1">
      <c r="C651" s="109"/>
      <c r="D651" s="115">
        <f t="shared" si="136"/>
        <v>651</v>
      </c>
      <c r="E651" s="119" t="s">
        <v>57</v>
      </c>
      <c r="F651" s="121">
        <f t="shared" si="137"/>
        <v>650</v>
      </c>
      <c r="G651" s="118" t="s">
        <v>55</v>
      </c>
      <c r="H651" s="118"/>
      <c r="I651" s="117">
        <v>24</v>
      </c>
      <c r="J651" s="121" t="str">
        <f t="shared" si="141"/>
        <v>1664 id</v>
      </c>
      <c r="K651" s="130">
        <v>1</v>
      </c>
      <c r="L651" s="131" t="s">
        <v>50</v>
      </c>
      <c r="M651" s="132">
        <v>1</v>
      </c>
      <c r="N651" s="117" t="s">
        <v>39</v>
      </c>
      <c r="O651" s="149">
        <v>1</v>
      </c>
      <c r="P651" s="147" t="s">
        <v>41</v>
      </c>
      <c r="Q651" s="163">
        <f t="shared" si="140"/>
        <v>1</v>
      </c>
      <c r="R651" s="166"/>
      <c r="S651" s="163">
        <f t="shared" si="139"/>
        <v>1</v>
      </c>
      <c r="T651" s="169"/>
    </row>
    <row r="652" spans="3:20" ht="20.25" customHeight="1">
      <c r="C652" s="109"/>
      <c r="D652" s="115">
        <f t="shared" si="136"/>
        <v>652</v>
      </c>
      <c r="E652" s="119" t="s">
        <v>58</v>
      </c>
      <c r="F652" s="121">
        <f t="shared" si="137"/>
        <v>651</v>
      </c>
      <c r="G652" s="118" t="s">
        <v>55</v>
      </c>
      <c r="H652" s="118"/>
      <c r="I652" s="117">
        <v>24</v>
      </c>
      <c r="J652" s="121" t="str">
        <f t="shared" si="141"/>
        <v>1664 id</v>
      </c>
      <c r="K652" s="130">
        <v>1</v>
      </c>
      <c r="L652" s="131" t="s">
        <v>50</v>
      </c>
      <c r="M652" s="132">
        <v>1</v>
      </c>
      <c r="N652" s="117" t="s">
        <v>39</v>
      </c>
      <c r="O652" s="149">
        <v>4</v>
      </c>
      <c r="P652" s="147" t="s">
        <v>41</v>
      </c>
      <c r="Q652" s="163">
        <f t="shared" si="140"/>
        <v>4</v>
      </c>
      <c r="R652" s="166"/>
      <c r="S652" s="163">
        <f t="shared" si="139"/>
        <v>4</v>
      </c>
      <c r="T652" s="169"/>
    </row>
    <row r="653" spans="3:20" ht="20.25" customHeight="1">
      <c r="C653" s="109"/>
      <c r="D653" s="115">
        <f t="shared" si="136"/>
        <v>653</v>
      </c>
      <c r="E653" s="119" t="s">
        <v>59</v>
      </c>
      <c r="F653" s="121">
        <f t="shared" si="137"/>
        <v>652</v>
      </c>
      <c r="G653" s="118" t="s">
        <v>44</v>
      </c>
      <c r="H653" s="118"/>
      <c r="I653" s="117">
        <v>24</v>
      </c>
      <c r="J653" s="121" t="str">
        <f t="shared" si="141"/>
        <v>1664 id</v>
      </c>
      <c r="K653" s="130">
        <v>1</v>
      </c>
      <c r="L653" s="131" t="s">
        <v>50</v>
      </c>
      <c r="M653" s="132">
        <v>1</v>
      </c>
      <c r="N653" s="117" t="s">
        <v>39</v>
      </c>
      <c r="O653" s="149">
        <v>1</v>
      </c>
      <c r="P653" s="147" t="s">
        <v>41</v>
      </c>
      <c r="Q653" s="163">
        <f t="shared" si="140"/>
        <v>1</v>
      </c>
      <c r="R653" s="166"/>
      <c r="S653" s="163">
        <f t="shared" si="139"/>
        <v>1</v>
      </c>
      <c r="T653" s="169"/>
    </row>
    <row r="654" spans="3:20" ht="20.25" customHeight="1">
      <c r="C654" s="109"/>
      <c r="D654" s="115">
        <f t="shared" si="136"/>
        <v>654</v>
      </c>
      <c r="E654" s="119" t="s">
        <v>60</v>
      </c>
      <c r="F654" s="121">
        <f t="shared" si="137"/>
        <v>653</v>
      </c>
      <c r="G654" s="118" t="s">
        <v>61</v>
      </c>
      <c r="H654" s="118"/>
      <c r="I654" s="117">
        <v>24</v>
      </c>
      <c r="J654" s="121" t="str">
        <f t="shared" si="141"/>
        <v>1664 id</v>
      </c>
      <c r="K654" s="130">
        <v>1</v>
      </c>
      <c r="L654" s="131" t="s">
        <v>50</v>
      </c>
      <c r="M654" s="132">
        <v>1</v>
      </c>
      <c r="N654" s="117" t="s">
        <v>39</v>
      </c>
      <c r="O654" s="149">
        <v>1</v>
      </c>
      <c r="P654" s="147" t="s">
        <v>41</v>
      </c>
      <c r="Q654" s="163">
        <f t="shared" si="140"/>
        <v>1</v>
      </c>
      <c r="R654" s="166">
        <v>1</v>
      </c>
      <c r="S654" s="163">
        <f t="shared" si="139"/>
        <v>2</v>
      </c>
      <c r="T654" s="169">
        <v>1</v>
      </c>
    </row>
    <row r="655" spans="3:20" ht="20.25" customHeight="1">
      <c r="C655" s="109"/>
      <c r="D655" s="115">
        <f t="shared" si="136"/>
        <v>655</v>
      </c>
      <c r="E655" s="119" t="s">
        <v>62</v>
      </c>
      <c r="F655" s="121">
        <f t="shared" si="137"/>
        <v>654</v>
      </c>
      <c r="G655" s="118" t="s">
        <v>63</v>
      </c>
      <c r="H655" s="118"/>
      <c r="I655" s="117">
        <v>24</v>
      </c>
      <c r="J655" s="121" t="str">
        <f t="shared" si="141"/>
        <v>1664 id</v>
      </c>
      <c r="K655" s="130">
        <v>1</v>
      </c>
      <c r="L655" s="131" t="s">
        <v>50</v>
      </c>
      <c r="M655" s="132">
        <v>1</v>
      </c>
      <c r="N655" s="117" t="s">
        <v>39</v>
      </c>
      <c r="O655" s="149">
        <v>1</v>
      </c>
      <c r="P655" s="147" t="s">
        <v>41</v>
      </c>
      <c r="Q655" s="163">
        <f t="shared" si="140"/>
        <v>1</v>
      </c>
      <c r="R655" s="166"/>
      <c r="S655" s="163">
        <f t="shared" si="139"/>
        <v>1</v>
      </c>
      <c r="T655" s="169"/>
    </row>
    <row r="656" spans="3:20" ht="20.25" customHeight="1">
      <c r="C656" s="109"/>
      <c r="D656" s="115">
        <f t="shared" si="136"/>
        <v>656</v>
      </c>
      <c r="E656" s="119" t="s">
        <v>64</v>
      </c>
      <c r="F656" s="121">
        <f t="shared" si="137"/>
        <v>655</v>
      </c>
      <c r="G656" s="118" t="s">
        <v>63</v>
      </c>
      <c r="H656" s="118"/>
      <c r="I656" s="117">
        <v>24</v>
      </c>
      <c r="J656" s="121" t="str">
        <f t="shared" si="141"/>
        <v>1664 id</v>
      </c>
      <c r="K656" s="130">
        <v>1</v>
      </c>
      <c r="L656" s="131" t="s">
        <v>50</v>
      </c>
      <c r="M656" s="132">
        <v>1</v>
      </c>
      <c r="N656" s="117" t="s">
        <v>39</v>
      </c>
      <c r="O656" s="149">
        <v>1</v>
      </c>
      <c r="P656" s="147" t="s">
        <v>41</v>
      </c>
      <c r="Q656" s="163">
        <f t="shared" si="140"/>
        <v>1</v>
      </c>
      <c r="R656" s="166"/>
      <c r="S656" s="163">
        <f t="shared" si="139"/>
        <v>1</v>
      </c>
      <c r="T656" s="169"/>
    </row>
    <row r="657" spans="3:20" ht="20.25" customHeight="1">
      <c r="C657" s="109"/>
      <c r="D657" s="115">
        <f t="shared" si="136"/>
        <v>657</v>
      </c>
      <c r="E657" s="119" t="s">
        <v>65</v>
      </c>
      <c r="F657" s="121">
        <f t="shared" si="137"/>
        <v>656</v>
      </c>
      <c r="G657" s="118" t="s">
        <v>44</v>
      </c>
      <c r="H657" s="123" t="s">
        <v>66</v>
      </c>
      <c r="I657" s="117">
        <v>24</v>
      </c>
      <c r="J657" s="139" t="s">
        <v>67</v>
      </c>
      <c r="K657" s="130">
        <v>1</v>
      </c>
      <c r="L657" s="131" t="s">
        <v>50</v>
      </c>
      <c r="M657" s="141">
        <f>LEFT(J657,SEARCH(" ",J657,1)-1)*K657*0.001*3.142</f>
        <v>5.3162639999999994</v>
      </c>
      <c r="N657" s="117" t="s">
        <v>68</v>
      </c>
      <c r="O657" s="143">
        <f>VLOOKUP(I657,BM!$A$2:$X$104,2,FALSE)</f>
        <v>0.1</v>
      </c>
      <c r="P657" s="147" t="s">
        <v>53</v>
      </c>
      <c r="Q657" s="163">
        <f t="shared" si="140"/>
        <v>0.53162639999999994</v>
      </c>
      <c r="R657" s="166">
        <v>1</v>
      </c>
      <c r="S657" s="163">
        <f t="shared" si="139"/>
        <v>1.5316263999999999</v>
      </c>
      <c r="T657" s="167" t="s">
        <v>162</v>
      </c>
    </row>
    <row r="658" spans="3:20" ht="20.25" customHeight="1">
      <c r="C658" s="109"/>
      <c r="D658" s="115">
        <f t="shared" si="136"/>
        <v>658</v>
      </c>
      <c r="E658" s="119" t="s">
        <v>69</v>
      </c>
      <c r="F658" s="121">
        <f t="shared" si="137"/>
        <v>657</v>
      </c>
      <c r="G658" s="118" t="s">
        <v>52</v>
      </c>
      <c r="H658" s="118"/>
      <c r="I658" s="117">
        <v>24</v>
      </c>
      <c r="J658" s="150" t="str">
        <f>J657</f>
        <v>1692 od</v>
      </c>
      <c r="K658" s="130">
        <v>1</v>
      </c>
      <c r="L658" s="131" t="s">
        <v>50</v>
      </c>
      <c r="M658" s="141">
        <f>LEFT(J658,SEARCH(" ",J658,1)-1)*K658*0.001*3.142</f>
        <v>5.3162639999999994</v>
      </c>
      <c r="N658" s="117" t="s">
        <v>68</v>
      </c>
      <c r="O658" s="143">
        <f>VLOOKUP(I658,BM!$A$2:$X$104,15,FALSE)</f>
        <v>1</v>
      </c>
      <c r="P658" s="147" t="s">
        <v>53</v>
      </c>
      <c r="Q658" s="163">
        <f t="shared" si="140"/>
        <v>5.3162639999999994</v>
      </c>
      <c r="R658" s="166">
        <v>1</v>
      </c>
      <c r="S658" s="163">
        <f t="shared" si="139"/>
        <v>6.3162639999999994</v>
      </c>
      <c r="T658" s="167" t="s">
        <v>162</v>
      </c>
    </row>
    <row r="659" spans="3:20" ht="20.25" customHeight="1">
      <c r="C659" s="109"/>
      <c r="D659" s="115">
        <f t="shared" si="136"/>
        <v>659</v>
      </c>
      <c r="E659" s="119" t="s">
        <v>70</v>
      </c>
      <c r="F659" s="121">
        <f t="shared" si="137"/>
        <v>658</v>
      </c>
      <c r="G659" s="118" t="s">
        <v>61</v>
      </c>
      <c r="H659" s="118"/>
      <c r="I659" s="117">
        <v>24</v>
      </c>
      <c r="J659" s="150" t="str">
        <f>J658</f>
        <v>1692 od</v>
      </c>
      <c r="K659" s="130">
        <v>1</v>
      </c>
      <c r="L659" s="131" t="s">
        <v>50</v>
      </c>
      <c r="M659" s="141">
        <f>LEFT(J659,SEARCH(" ",J659,1)-1)*K659*0.001*3.142</f>
        <v>5.3162639999999994</v>
      </c>
      <c r="N659" s="117" t="s">
        <v>68</v>
      </c>
      <c r="O659" s="143">
        <f>VLOOKUP(I659,BM!$A$2:$X$104,6,FALSE)</f>
        <v>1</v>
      </c>
      <c r="P659" s="147" t="s">
        <v>53</v>
      </c>
      <c r="Q659" s="163">
        <f t="shared" si="140"/>
        <v>5.3162639999999994</v>
      </c>
      <c r="R659" s="166"/>
      <c r="S659" s="163">
        <f t="shared" si="139"/>
        <v>5.3162639999999994</v>
      </c>
      <c r="T659" s="167" t="s">
        <v>162</v>
      </c>
    </row>
    <row r="660" spans="3:20" ht="20.25" customHeight="1">
      <c r="C660" s="109">
        <f t="shared" ref="C660:C661" si="142">D660</f>
        <v>660</v>
      </c>
      <c r="D660" s="115">
        <f t="shared" si="136"/>
        <v>660</v>
      </c>
      <c r="E660" s="116" t="s">
        <v>71</v>
      </c>
      <c r="F660" s="117"/>
      <c r="G660" s="118"/>
      <c r="H660" s="118"/>
      <c r="I660" s="117"/>
      <c r="J660" s="117"/>
      <c r="K660" s="130"/>
      <c r="L660" s="131"/>
      <c r="M660" s="132"/>
      <c r="N660" s="117"/>
      <c r="O660" s="149"/>
      <c r="P660" s="147"/>
      <c r="Q660" s="163"/>
      <c r="R660" s="166"/>
      <c r="S660" s="163"/>
      <c r="T660" s="169"/>
    </row>
    <row r="661" spans="3:20" ht="20.25" customHeight="1">
      <c r="C661" s="109">
        <f t="shared" si="142"/>
        <v>661</v>
      </c>
      <c r="D661" s="115">
        <f t="shared" si="136"/>
        <v>661</v>
      </c>
      <c r="E661" s="116" t="s">
        <v>72</v>
      </c>
      <c r="F661" s="121">
        <f>D629</f>
        <v>629</v>
      </c>
      <c r="G661" s="118"/>
      <c r="H661" s="118"/>
      <c r="I661" s="117"/>
      <c r="J661" s="117"/>
      <c r="K661" s="130"/>
      <c r="L661" s="131"/>
      <c r="M661" s="132"/>
      <c r="N661" s="117"/>
      <c r="O661" s="149"/>
      <c r="P661" s="147"/>
      <c r="Q661" s="170"/>
      <c r="R661" s="166"/>
      <c r="S661" s="170"/>
      <c r="T661" s="169"/>
    </row>
    <row r="662" spans="3:20" ht="20.25" customHeight="1">
      <c r="C662" s="109"/>
      <c r="D662" s="115">
        <f t="shared" si="136"/>
        <v>662</v>
      </c>
      <c r="E662" s="119" t="s">
        <v>73</v>
      </c>
      <c r="F662" s="117"/>
      <c r="G662" s="118"/>
      <c r="H662" s="123" t="s">
        <v>66</v>
      </c>
      <c r="I662" s="151" t="s">
        <v>74</v>
      </c>
      <c r="J662" s="151" t="s">
        <v>90</v>
      </c>
      <c r="K662" s="130">
        <v>1</v>
      </c>
      <c r="L662" s="131" t="s">
        <v>39</v>
      </c>
      <c r="M662" s="132">
        <v>1</v>
      </c>
      <c r="N662" s="117" t="s">
        <v>50</v>
      </c>
      <c r="O662" s="149">
        <v>2</v>
      </c>
      <c r="P662" s="147" t="s">
        <v>41</v>
      </c>
      <c r="Q662" s="163">
        <f t="shared" ref="Q662:Q663" si="143">M662*O662</f>
        <v>2</v>
      </c>
      <c r="R662" s="166"/>
      <c r="S662" s="163">
        <f t="shared" ref="S662:S663" si="144">Q662+R662</f>
        <v>2</v>
      </c>
      <c r="T662" s="167" t="s">
        <v>741</v>
      </c>
    </row>
    <row r="663" spans="3:20" ht="20.25" customHeight="1">
      <c r="C663" s="109"/>
      <c r="D663" s="115">
        <f t="shared" si="136"/>
        <v>663</v>
      </c>
      <c r="E663" s="119" t="s">
        <v>75</v>
      </c>
      <c r="F663" s="121">
        <f>D662</f>
        <v>662</v>
      </c>
      <c r="G663" s="118" t="s">
        <v>55</v>
      </c>
      <c r="H663" s="118"/>
      <c r="I663" s="150" t="str">
        <f>I662</f>
        <v>145 t</v>
      </c>
      <c r="J663" s="151" t="s">
        <v>92</v>
      </c>
      <c r="K663" s="130">
        <v>1</v>
      </c>
      <c r="L663" s="131" t="s">
        <v>39</v>
      </c>
      <c r="M663" s="132">
        <v>1</v>
      </c>
      <c r="N663" s="117" t="s">
        <v>50</v>
      </c>
      <c r="O663" s="149">
        <v>5</v>
      </c>
      <c r="P663" s="147" t="s">
        <v>41</v>
      </c>
      <c r="Q663" s="163">
        <f t="shared" si="143"/>
        <v>5</v>
      </c>
      <c r="R663" s="166"/>
      <c r="S663" s="163">
        <f t="shared" si="144"/>
        <v>5</v>
      </c>
      <c r="T663" s="167" t="s">
        <v>741</v>
      </c>
    </row>
    <row r="664" spans="3:20" ht="20.25" customHeight="1">
      <c r="C664" s="109">
        <f>D664</f>
        <v>664</v>
      </c>
      <c r="D664" s="115">
        <f t="shared" si="136"/>
        <v>664</v>
      </c>
      <c r="E664" s="116" t="s">
        <v>76</v>
      </c>
      <c r="F664" s="121">
        <f>D661</f>
        <v>661</v>
      </c>
      <c r="G664" s="118"/>
      <c r="H664" s="118"/>
      <c r="I664" s="117"/>
      <c r="J664" s="117"/>
      <c r="K664" s="130"/>
      <c r="L664" s="131"/>
      <c r="M664" s="132"/>
      <c r="N664" s="117"/>
      <c r="O664" s="149"/>
      <c r="P664" s="147"/>
      <c r="Q664" s="163"/>
      <c r="R664" s="166"/>
      <c r="S664" s="163"/>
      <c r="T664" s="169"/>
    </row>
    <row r="665" spans="3:20" ht="20.25" customHeight="1">
      <c r="C665" s="109"/>
      <c r="D665" s="115">
        <f t="shared" si="136"/>
        <v>665</v>
      </c>
      <c r="E665" s="119" t="s">
        <v>77</v>
      </c>
      <c r="F665" s="121">
        <f t="shared" ref="F665:F670" si="145">D664</f>
        <v>664</v>
      </c>
      <c r="G665" s="118" t="s">
        <v>55</v>
      </c>
      <c r="H665" s="118"/>
      <c r="I665" s="152" t="str">
        <f>I662</f>
        <v>145 t</v>
      </c>
      <c r="J665" s="151" t="s">
        <v>78</v>
      </c>
      <c r="K665" s="130">
        <v>1</v>
      </c>
      <c r="L665" s="131" t="s">
        <v>39</v>
      </c>
      <c r="M665" s="141">
        <f>LEFT(J665,SEARCH(" ",J665,1)-1)*LEFT(I665,SEARCH(" ",I665,1)-1)*K665/1000</f>
        <v>189.66</v>
      </c>
      <c r="N665" s="117" t="s">
        <v>79</v>
      </c>
      <c r="O665" s="143">
        <f>1/1.5^1</f>
        <v>0.66666666666666663</v>
      </c>
      <c r="P665" s="147" t="s">
        <v>47</v>
      </c>
      <c r="Q665" s="163">
        <f>M665*O665/24</f>
        <v>5.2683333333333335</v>
      </c>
      <c r="R665" s="166"/>
      <c r="S665" s="163">
        <f t="shared" ref="S665:S669" si="146">Q665+R665</f>
        <v>5.2683333333333335</v>
      </c>
      <c r="T665" s="167" t="s">
        <v>41</v>
      </c>
    </row>
    <row r="666" spans="3:20" ht="20.25" customHeight="1">
      <c r="C666" s="109"/>
      <c r="D666" s="115">
        <f t="shared" si="136"/>
        <v>666</v>
      </c>
      <c r="E666" s="119" t="s">
        <v>80</v>
      </c>
      <c r="F666" s="121">
        <f t="shared" si="145"/>
        <v>665</v>
      </c>
      <c r="G666" s="118" t="s">
        <v>55</v>
      </c>
      <c r="H666" s="118"/>
      <c r="I666" s="153" t="str">
        <f>I662</f>
        <v>145 t</v>
      </c>
      <c r="J666" s="153" t="str">
        <f>J665</f>
        <v>1308 holes</v>
      </c>
      <c r="K666" s="130">
        <v>1</v>
      </c>
      <c r="L666" s="131" t="s">
        <v>40</v>
      </c>
      <c r="M666" s="141" t="str">
        <f>LEFT(J666,SEARCH(" ",J666,1)-1)</f>
        <v>1308</v>
      </c>
      <c r="N666" s="145" t="s">
        <v>81</v>
      </c>
      <c r="O666" s="143">
        <f>1/60*5</f>
        <v>8.3333333333333329E-2</v>
      </c>
      <c r="P666" s="147" t="s">
        <v>47</v>
      </c>
      <c r="Q666" s="163">
        <f>M666*O666/24</f>
        <v>4.541666666666667</v>
      </c>
      <c r="R666" s="166"/>
      <c r="S666" s="163">
        <f t="shared" si="146"/>
        <v>4.541666666666667</v>
      </c>
      <c r="T666" s="167" t="s">
        <v>41</v>
      </c>
    </row>
    <row r="667" spans="3:20" ht="20.25" customHeight="1">
      <c r="C667" s="109"/>
      <c r="D667" s="115">
        <f t="shared" si="136"/>
        <v>667</v>
      </c>
      <c r="E667" s="119" t="s">
        <v>82</v>
      </c>
      <c r="F667" s="121">
        <f t="shared" si="145"/>
        <v>666</v>
      </c>
      <c r="G667" s="118" t="s">
        <v>55</v>
      </c>
      <c r="H667" s="118"/>
      <c r="I667" s="153" t="str">
        <f>I662</f>
        <v>145 t</v>
      </c>
      <c r="J667" s="117"/>
      <c r="K667" s="130">
        <v>1</v>
      </c>
      <c r="L667" s="154" t="s">
        <v>83</v>
      </c>
      <c r="M667" s="155">
        <v>1</v>
      </c>
      <c r="N667" s="145" t="s">
        <v>84</v>
      </c>
      <c r="O667" s="143">
        <v>1</v>
      </c>
      <c r="P667" s="144" t="s">
        <v>41</v>
      </c>
      <c r="Q667" s="163">
        <f>M667*O667</f>
        <v>1</v>
      </c>
      <c r="R667" s="166"/>
      <c r="S667" s="163">
        <f t="shared" si="146"/>
        <v>1</v>
      </c>
      <c r="T667" s="167" t="s">
        <v>41</v>
      </c>
    </row>
    <row r="668" spans="3:20" ht="20.25" customHeight="1">
      <c r="C668" s="109"/>
      <c r="D668" s="115">
        <f t="shared" si="136"/>
        <v>668</v>
      </c>
      <c r="E668" s="119" t="s">
        <v>85</v>
      </c>
      <c r="F668" s="121">
        <f t="shared" si="145"/>
        <v>667</v>
      </c>
      <c r="G668" s="118" t="s">
        <v>55</v>
      </c>
      <c r="H668" s="118"/>
      <c r="I668" s="153" t="str">
        <f>I662</f>
        <v>145 t</v>
      </c>
      <c r="J668" s="117"/>
      <c r="K668" s="130">
        <v>1</v>
      </c>
      <c r="L668" s="154" t="s">
        <v>83</v>
      </c>
      <c r="M668" s="132">
        <v>1</v>
      </c>
      <c r="N668" s="145" t="s">
        <v>84</v>
      </c>
      <c r="O668" s="149">
        <v>4</v>
      </c>
      <c r="P668" s="147" t="s">
        <v>41</v>
      </c>
      <c r="Q668" s="163">
        <f t="shared" ref="Q668:Q669" si="147">M668*O668</f>
        <v>4</v>
      </c>
      <c r="R668" s="166"/>
      <c r="S668" s="163">
        <f t="shared" si="146"/>
        <v>4</v>
      </c>
      <c r="T668" s="167" t="s">
        <v>41</v>
      </c>
    </row>
    <row r="669" spans="3:20" ht="20.25" customHeight="1">
      <c r="C669" s="109"/>
      <c r="D669" s="115">
        <f t="shared" si="136"/>
        <v>669</v>
      </c>
      <c r="E669" s="119" t="s">
        <v>86</v>
      </c>
      <c r="F669" s="121">
        <f t="shared" si="145"/>
        <v>668</v>
      </c>
      <c r="G669" s="118" t="s">
        <v>44</v>
      </c>
      <c r="H669" s="118"/>
      <c r="I669" s="153" t="str">
        <f>I662</f>
        <v>145 t</v>
      </c>
      <c r="J669" s="153" t="str">
        <f>J665</f>
        <v>1308 holes</v>
      </c>
      <c r="K669" s="130">
        <v>1</v>
      </c>
      <c r="L669" s="131" t="s">
        <v>40</v>
      </c>
      <c r="M669" s="141" t="str">
        <f>LEFT(J669,SEARCH(" ",J669,1)-1)</f>
        <v>1308</v>
      </c>
      <c r="N669" s="117" t="s">
        <v>40</v>
      </c>
      <c r="O669" s="143">
        <f>1/60*3</f>
        <v>0.05</v>
      </c>
      <c r="P669" s="147" t="s">
        <v>87</v>
      </c>
      <c r="Q669" s="163">
        <f t="shared" si="147"/>
        <v>65.400000000000006</v>
      </c>
      <c r="R669" s="166"/>
      <c r="S669" s="163">
        <f t="shared" si="146"/>
        <v>65.400000000000006</v>
      </c>
      <c r="T669" s="167" t="s">
        <v>48</v>
      </c>
    </row>
    <row r="670" spans="3:20" ht="20.25" customHeight="1">
      <c r="C670" s="109"/>
      <c r="D670" s="115">
        <f t="shared" si="136"/>
        <v>670</v>
      </c>
      <c r="E670" s="119" t="s">
        <v>88</v>
      </c>
      <c r="F670" s="121">
        <f t="shared" si="145"/>
        <v>669</v>
      </c>
      <c r="G670" s="118" t="s">
        <v>44</v>
      </c>
      <c r="H670" s="118"/>
      <c r="I670" s="117"/>
      <c r="J670" s="117"/>
      <c r="K670" s="130"/>
      <c r="L670" s="131"/>
      <c r="M670" s="132"/>
      <c r="N670" s="117"/>
      <c r="O670" s="149"/>
      <c r="P670" s="147"/>
      <c r="Q670" s="163"/>
      <c r="R670" s="166"/>
      <c r="S670" s="163"/>
      <c r="T670" s="169"/>
    </row>
    <row r="671" spans="3:20" ht="20.25" customHeight="1">
      <c r="C671" s="109">
        <f>D671</f>
        <v>671</v>
      </c>
      <c r="D671" s="115">
        <f t="shared" si="136"/>
        <v>671</v>
      </c>
      <c r="E671" s="116" t="s">
        <v>89</v>
      </c>
      <c r="F671" s="121">
        <f>D629</f>
        <v>629</v>
      </c>
      <c r="G671" s="118"/>
      <c r="H671" s="118"/>
      <c r="I671" s="117"/>
      <c r="J671" s="117"/>
      <c r="K671" s="130"/>
      <c r="L671" s="131"/>
      <c r="M671" s="132"/>
      <c r="N671" s="117"/>
      <c r="O671" s="149"/>
      <c r="P671" s="147"/>
      <c r="Q671" s="163"/>
      <c r="R671" s="166"/>
      <c r="S671" s="163"/>
      <c r="T671" s="169"/>
    </row>
    <row r="672" spans="3:20" ht="20.25" customHeight="1">
      <c r="C672" s="109"/>
      <c r="D672" s="115">
        <f t="shared" si="136"/>
        <v>672</v>
      </c>
      <c r="E672" s="119" t="s">
        <v>73</v>
      </c>
      <c r="F672" s="121">
        <f>D671</f>
        <v>671</v>
      </c>
      <c r="G672" s="118"/>
      <c r="H672" s="118"/>
      <c r="I672" s="151" t="s">
        <v>74</v>
      </c>
      <c r="J672" s="151" t="s">
        <v>90</v>
      </c>
      <c r="K672" s="130">
        <v>1</v>
      </c>
      <c r="L672" s="131" t="s">
        <v>39</v>
      </c>
      <c r="M672" s="132">
        <v>1</v>
      </c>
      <c r="N672" s="117" t="s">
        <v>50</v>
      </c>
      <c r="O672" s="149">
        <v>2</v>
      </c>
      <c r="P672" s="147" t="s">
        <v>41</v>
      </c>
      <c r="Q672" s="163">
        <f t="shared" ref="Q672:Q673" si="148">M672*O672</f>
        <v>2</v>
      </c>
      <c r="R672" s="166"/>
      <c r="S672" s="163">
        <f t="shared" ref="S672:S673" si="149">Q672+R672</f>
        <v>2</v>
      </c>
      <c r="T672" s="167" t="s">
        <v>741</v>
      </c>
    </row>
    <row r="673" spans="2:20" ht="20.25" customHeight="1">
      <c r="C673" s="109"/>
      <c r="D673" s="115">
        <f t="shared" si="136"/>
        <v>673</v>
      </c>
      <c r="E673" s="119" t="s">
        <v>91</v>
      </c>
      <c r="F673" s="121">
        <f>D672</f>
        <v>672</v>
      </c>
      <c r="G673" s="118" t="s">
        <v>55</v>
      </c>
      <c r="H673" s="118"/>
      <c r="I673" s="150" t="str">
        <f>I672</f>
        <v>145 t</v>
      </c>
      <c r="J673" s="151" t="s">
        <v>92</v>
      </c>
      <c r="K673" s="130">
        <v>1</v>
      </c>
      <c r="L673" s="131" t="s">
        <v>39</v>
      </c>
      <c r="M673" s="132">
        <v>1</v>
      </c>
      <c r="N673" s="117" t="s">
        <v>50</v>
      </c>
      <c r="O673" s="149">
        <v>5</v>
      </c>
      <c r="P673" s="147" t="s">
        <v>41</v>
      </c>
      <c r="Q673" s="163">
        <f t="shared" si="148"/>
        <v>5</v>
      </c>
      <c r="R673" s="166"/>
      <c r="S673" s="163">
        <f t="shared" si="149"/>
        <v>5</v>
      </c>
      <c r="T673" s="167" t="s">
        <v>741</v>
      </c>
    </row>
    <row r="674" spans="2:20" ht="20.25" customHeight="1">
      <c r="B674" s="124"/>
      <c r="C674" s="109">
        <f>D674</f>
        <v>674</v>
      </c>
      <c r="D674" s="115">
        <f t="shared" si="136"/>
        <v>674</v>
      </c>
      <c r="E674" s="116" t="s">
        <v>93</v>
      </c>
      <c r="F674" s="121"/>
      <c r="G674" s="118"/>
      <c r="H674" s="118"/>
      <c r="I674" s="117"/>
      <c r="J674" s="117"/>
      <c r="K674" s="130"/>
      <c r="L674" s="131"/>
      <c r="M674" s="132"/>
      <c r="N674" s="117"/>
      <c r="O674" s="149"/>
      <c r="P674" s="147"/>
      <c r="Q674" s="163"/>
      <c r="R674" s="166"/>
      <c r="S674" s="163"/>
      <c r="T674" s="169"/>
    </row>
    <row r="675" spans="2:20" ht="20.25" customHeight="1">
      <c r="C675" s="109"/>
      <c r="D675" s="115">
        <f t="shared" si="136"/>
        <v>675</v>
      </c>
      <c r="E675" s="119" t="s">
        <v>94</v>
      </c>
      <c r="F675" s="125">
        <f>D665</f>
        <v>665</v>
      </c>
      <c r="G675" s="118" t="s">
        <v>55</v>
      </c>
      <c r="H675" s="118"/>
      <c r="I675" s="152" t="str">
        <f>I672</f>
        <v>145 t</v>
      </c>
      <c r="J675" s="151" t="s">
        <v>78</v>
      </c>
      <c r="K675" s="130">
        <v>1</v>
      </c>
      <c r="L675" s="131" t="s">
        <v>39</v>
      </c>
      <c r="M675" s="141">
        <f>LEFT(J675,SEARCH(" ",J675,1)-1)*LEFT(I675,SEARCH(" ",I675,1)-1)*K675/1000</f>
        <v>189.66</v>
      </c>
      <c r="N675" s="117" t="s">
        <v>79</v>
      </c>
      <c r="O675" s="143">
        <f>1/1.5^1</f>
        <v>0.66666666666666663</v>
      </c>
      <c r="P675" s="147" t="s">
        <v>47</v>
      </c>
      <c r="Q675" s="163">
        <f>M675*O675/24</f>
        <v>5.2683333333333335</v>
      </c>
      <c r="R675" s="166"/>
      <c r="S675" s="163">
        <f t="shared" ref="S675:S680" si="150">Q675+R675</f>
        <v>5.2683333333333335</v>
      </c>
      <c r="T675" s="167" t="s">
        <v>41</v>
      </c>
    </row>
    <row r="676" spans="2:20" ht="20.25" customHeight="1">
      <c r="C676" s="109"/>
      <c r="D676" s="115">
        <f t="shared" si="136"/>
        <v>676</v>
      </c>
      <c r="E676" s="119" t="s">
        <v>95</v>
      </c>
      <c r="F676" s="121">
        <f>D675</f>
        <v>675</v>
      </c>
      <c r="G676" s="118" t="s">
        <v>55</v>
      </c>
      <c r="H676" s="118"/>
      <c r="I676" s="153" t="str">
        <f>I672</f>
        <v>145 t</v>
      </c>
      <c r="J676" s="153" t="str">
        <f>J675</f>
        <v>1308 holes</v>
      </c>
      <c r="K676" s="130">
        <v>1</v>
      </c>
      <c r="L676" s="131" t="s">
        <v>40</v>
      </c>
      <c r="M676" s="141" t="str">
        <f>LEFT(J676,SEARCH(" ",J676,1)-1)</f>
        <v>1308</v>
      </c>
      <c r="N676" s="145" t="s">
        <v>81</v>
      </c>
      <c r="O676" s="143">
        <f>1/60*5</f>
        <v>8.3333333333333329E-2</v>
      </c>
      <c r="P676" s="147" t="s">
        <v>47</v>
      </c>
      <c r="Q676" s="163">
        <f>M676*O676/24</f>
        <v>4.541666666666667</v>
      </c>
      <c r="R676" s="166"/>
      <c r="S676" s="163">
        <f t="shared" si="150"/>
        <v>4.541666666666667</v>
      </c>
      <c r="T676" s="167" t="s">
        <v>41</v>
      </c>
    </row>
    <row r="677" spans="2:20" ht="20.25" customHeight="1">
      <c r="C677" s="109"/>
      <c r="D677" s="115">
        <f t="shared" si="136"/>
        <v>677</v>
      </c>
      <c r="E677" s="119" t="s">
        <v>96</v>
      </c>
      <c r="F677" s="121">
        <f>D676</f>
        <v>676</v>
      </c>
      <c r="G677" s="118" t="s">
        <v>55</v>
      </c>
      <c r="H677" s="118"/>
      <c r="I677" s="153" t="str">
        <f>I672</f>
        <v>145 t</v>
      </c>
      <c r="J677" s="117"/>
      <c r="K677" s="130">
        <v>1</v>
      </c>
      <c r="L677" s="154" t="s">
        <v>83</v>
      </c>
      <c r="M677" s="155">
        <v>1</v>
      </c>
      <c r="N677" s="145" t="s">
        <v>84</v>
      </c>
      <c r="O677" s="143">
        <v>1</v>
      </c>
      <c r="P677" s="144" t="s">
        <v>41</v>
      </c>
      <c r="Q677" s="163">
        <f>M677*O677</f>
        <v>1</v>
      </c>
      <c r="R677" s="166"/>
      <c r="S677" s="163">
        <f t="shared" si="150"/>
        <v>1</v>
      </c>
      <c r="T677" s="167" t="s">
        <v>41</v>
      </c>
    </row>
    <row r="678" spans="2:20" ht="20.25" customHeight="1">
      <c r="C678" s="109"/>
      <c r="D678" s="115">
        <f t="shared" si="136"/>
        <v>678</v>
      </c>
      <c r="E678" s="119" t="s">
        <v>97</v>
      </c>
      <c r="F678" s="121">
        <f>D677</f>
        <v>677</v>
      </c>
      <c r="G678" s="118" t="s">
        <v>55</v>
      </c>
      <c r="H678" s="118"/>
      <c r="I678" s="153" t="str">
        <f>I672</f>
        <v>145 t</v>
      </c>
      <c r="J678" s="117"/>
      <c r="K678" s="130">
        <v>1</v>
      </c>
      <c r="L678" s="154" t="s">
        <v>83</v>
      </c>
      <c r="M678" s="132">
        <v>1</v>
      </c>
      <c r="N678" s="145" t="s">
        <v>84</v>
      </c>
      <c r="O678" s="149">
        <v>4</v>
      </c>
      <c r="P678" s="147" t="s">
        <v>41</v>
      </c>
      <c r="Q678" s="163">
        <f t="shared" ref="Q678:Q680" si="151">M678*O678</f>
        <v>4</v>
      </c>
      <c r="R678" s="166"/>
      <c r="S678" s="163">
        <f t="shared" si="150"/>
        <v>4</v>
      </c>
      <c r="T678" s="167" t="s">
        <v>41</v>
      </c>
    </row>
    <row r="679" spans="2:20" ht="20.25" customHeight="1">
      <c r="C679" s="109"/>
      <c r="D679" s="115">
        <f t="shared" si="136"/>
        <v>679</v>
      </c>
      <c r="E679" s="119" t="s">
        <v>98</v>
      </c>
      <c r="F679" s="121">
        <f>D678</f>
        <v>678</v>
      </c>
      <c r="G679" s="118" t="s">
        <v>44</v>
      </c>
      <c r="H679" s="118"/>
      <c r="I679" s="153" t="str">
        <f>I672</f>
        <v>145 t</v>
      </c>
      <c r="J679" s="153" t="str">
        <f>J675</f>
        <v>1308 holes</v>
      </c>
      <c r="K679" s="130">
        <v>1</v>
      </c>
      <c r="L679" s="131" t="s">
        <v>40</v>
      </c>
      <c r="M679" s="141" t="str">
        <f>LEFT(J679,SEARCH(" ",J679,1)-1)</f>
        <v>1308</v>
      </c>
      <c r="N679" s="117" t="s">
        <v>40</v>
      </c>
      <c r="O679" s="143">
        <f>1/60*3</f>
        <v>0.05</v>
      </c>
      <c r="P679" s="147" t="s">
        <v>87</v>
      </c>
      <c r="Q679" s="163">
        <f t="shared" si="151"/>
        <v>65.400000000000006</v>
      </c>
      <c r="R679" s="166"/>
      <c r="S679" s="163">
        <f t="shared" si="150"/>
        <v>65.400000000000006</v>
      </c>
      <c r="T679" s="167" t="s">
        <v>48</v>
      </c>
    </row>
    <row r="680" spans="2:20" ht="20.25" customHeight="1">
      <c r="C680" s="109"/>
      <c r="D680" s="115">
        <f t="shared" si="136"/>
        <v>680</v>
      </c>
      <c r="E680" s="119" t="s">
        <v>99</v>
      </c>
      <c r="F680" s="121">
        <f>D679</f>
        <v>679</v>
      </c>
      <c r="G680" s="118" t="s">
        <v>44</v>
      </c>
      <c r="H680" s="118"/>
      <c r="I680" s="117"/>
      <c r="J680" s="117"/>
      <c r="K680" s="130">
        <v>1</v>
      </c>
      <c r="L680" s="131"/>
      <c r="M680" s="141">
        <v>1050</v>
      </c>
      <c r="N680" s="117" t="s">
        <v>40</v>
      </c>
      <c r="O680" s="143">
        <f>1/60*3</f>
        <v>0.05</v>
      </c>
      <c r="P680" s="147" t="s">
        <v>53</v>
      </c>
      <c r="Q680" s="163">
        <f t="shared" si="151"/>
        <v>52.5</v>
      </c>
      <c r="R680" s="166">
        <v>1</v>
      </c>
      <c r="S680" s="163">
        <f t="shared" si="150"/>
        <v>53.5</v>
      </c>
      <c r="T680" s="169">
        <v>1</v>
      </c>
    </row>
    <row r="681" spans="2:20" ht="20.25" customHeight="1">
      <c r="B681" s="124"/>
      <c r="C681" s="109">
        <f t="shared" ref="C681:C682" si="152">D681</f>
        <v>681</v>
      </c>
      <c r="D681" s="115">
        <f t="shared" si="136"/>
        <v>681</v>
      </c>
      <c r="E681" s="116" t="s">
        <v>742</v>
      </c>
      <c r="F681" s="121">
        <f>D638</f>
        <v>638</v>
      </c>
      <c r="G681" s="117"/>
      <c r="H681" s="117"/>
      <c r="I681" s="117"/>
      <c r="J681" s="117"/>
      <c r="K681" s="131"/>
      <c r="L681" s="131"/>
      <c r="M681" s="132"/>
      <c r="N681" s="117"/>
      <c r="O681" s="133"/>
      <c r="P681" s="117"/>
      <c r="Q681" s="163"/>
      <c r="R681" s="161"/>
      <c r="S681" s="163"/>
      <c r="T681" s="162"/>
    </row>
    <row r="682" spans="2:20" ht="20.25" customHeight="1">
      <c r="B682" s="124"/>
      <c r="C682" s="109">
        <f t="shared" si="152"/>
        <v>682</v>
      </c>
      <c r="D682" s="115">
        <f t="shared" si="136"/>
        <v>682</v>
      </c>
      <c r="E682" s="126" t="s">
        <v>101</v>
      </c>
      <c r="F682" s="121">
        <f>D622</f>
        <v>622</v>
      </c>
      <c r="G682" s="118"/>
      <c r="H682" s="118"/>
      <c r="I682" s="117"/>
      <c r="J682" s="117"/>
      <c r="K682" s="131"/>
      <c r="L682" s="131"/>
      <c r="M682" s="132"/>
      <c r="N682" s="117"/>
      <c r="O682" s="133"/>
      <c r="P682" s="117"/>
      <c r="Q682" s="163"/>
      <c r="R682" s="161"/>
      <c r="S682" s="163"/>
      <c r="T682" s="162"/>
    </row>
    <row r="683" spans="2:20" ht="20.25" customHeight="1">
      <c r="C683" s="109"/>
      <c r="D683" s="115">
        <f t="shared" si="136"/>
        <v>683</v>
      </c>
      <c r="E683" s="171" t="s">
        <v>102</v>
      </c>
      <c r="F683" s="121">
        <f>D682</f>
        <v>682</v>
      </c>
      <c r="G683" s="118" t="s">
        <v>44</v>
      </c>
      <c r="H683" s="118"/>
      <c r="I683" s="151" t="s">
        <v>103</v>
      </c>
      <c r="J683" s="117"/>
      <c r="K683" s="173">
        <v>2</v>
      </c>
      <c r="L683" s="131" t="s">
        <v>81</v>
      </c>
      <c r="M683" s="174">
        <f>K683</f>
        <v>2</v>
      </c>
      <c r="N683" s="117" t="s">
        <v>81</v>
      </c>
      <c r="O683" s="133">
        <v>1</v>
      </c>
      <c r="P683" s="117"/>
      <c r="Q683" s="163">
        <f t="shared" ref="Q683:Q685" si="153">M683*O683</f>
        <v>2</v>
      </c>
      <c r="R683" s="161">
        <v>1</v>
      </c>
      <c r="S683" s="163">
        <f t="shared" ref="S683:S685" si="154">Q683+R683</f>
        <v>3</v>
      </c>
      <c r="T683" s="167" t="s">
        <v>48</v>
      </c>
    </row>
    <row r="684" spans="2:20" ht="20.25" customHeight="1">
      <c r="C684" s="109"/>
      <c r="D684" s="115">
        <f t="shared" si="136"/>
        <v>684</v>
      </c>
      <c r="E684" s="171" t="s">
        <v>104</v>
      </c>
      <c r="F684" s="121">
        <f>D683</f>
        <v>683</v>
      </c>
      <c r="G684" s="118" t="s">
        <v>44</v>
      </c>
      <c r="H684" s="118"/>
      <c r="I684" s="151" t="s">
        <v>105</v>
      </c>
      <c r="J684" s="117"/>
      <c r="K684" s="173">
        <v>2</v>
      </c>
      <c r="L684" s="131" t="s">
        <v>81</v>
      </c>
      <c r="M684" s="174">
        <f>K684</f>
        <v>2</v>
      </c>
      <c r="N684" s="117" t="s">
        <v>81</v>
      </c>
      <c r="O684" s="133">
        <v>1</v>
      </c>
      <c r="P684" s="117"/>
      <c r="Q684" s="163">
        <f t="shared" si="153"/>
        <v>2</v>
      </c>
      <c r="R684" s="161">
        <v>1</v>
      </c>
      <c r="S684" s="163">
        <f t="shared" si="154"/>
        <v>3</v>
      </c>
      <c r="T684" s="167" t="s">
        <v>48</v>
      </c>
    </row>
    <row r="685" spans="2:20" ht="20.25" customHeight="1">
      <c r="C685" s="109"/>
      <c r="D685" s="115">
        <f t="shared" si="136"/>
        <v>685</v>
      </c>
      <c r="E685" s="171" t="s">
        <v>106</v>
      </c>
      <c r="F685" s="121">
        <f>D684</f>
        <v>684</v>
      </c>
      <c r="G685" s="118" t="s">
        <v>44</v>
      </c>
      <c r="H685" s="118"/>
      <c r="I685" s="117"/>
      <c r="J685" s="117"/>
      <c r="K685" s="173">
        <f>K684+K683</f>
        <v>4</v>
      </c>
      <c r="L685" s="131" t="s">
        <v>81</v>
      </c>
      <c r="M685" s="174">
        <f>K685</f>
        <v>4</v>
      </c>
      <c r="N685" s="117" t="s">
        <v>81</v>
      </c>
      <c r="O685" s="133">
        <v>0.5</v>
      </c>
      <c r="P685" s="117"/>
      <c r="Q685" s="163">
        <f t="shared" si="153"/>
        <v>2</v>
      </c>
      <c r="R685" s="161">
        <v>1</v>
      </c>
      <c r="S685" s="163">
        <f t="shared" si="154"/>
        <v>3</v>
      </c>
      <c r="T685" s="167" t="s">
        <v>48</v>
      </c>
    </row>
    <row r="686" spans="2:20" ht="20.25" customHeight="1">
      <c r="B686" s="124"/>
      <c r="C686" s="109">
        <f>D686</f>
        <v>686</v>
      </c>
      <c r="D686" s="115">
        <f t="shared" si="136"/>
        <v>686</v>
      </c>
      <c r="E686" s="126" t="s">
        <v>107</v>
      </c>
      <c r="F686" s="121">
        <f>D682</f>
        <v>682</v>
      </c>
      <c r="G686" s="118"/>
      <c r="H686" s="118"/>
      <c r="I686" s="117"/>
      <c r="J686" s="117"/>
      <c r="K686" s="131"/>
      <c r="L686" s="131"/>
      <c r="M686" s="132"/>
      <c r="N686" s="117"/>
      <c r="O686" s="133"/>
      <c r="P686" s="117"/>
      <c r="Q686" s="163"/>
      <c r="R686" s="161"/>
      <c r="S686" s="163"/>
      <c r="T686" s="162"/>
    </row>
    <row r="687" spans="2:20" ht="20.25" customHeight="1">
      <c r="C687" s="109"/>
      <c r="D687" s="115">
        <f t="shared" si="136"/>
        <v>687</v>
      </c>
      <c r="E687" s="172" t="s">
        <v>102</v>
      </c>
      <c r="F687" s="121">
        <f>D686</f>
        <v>686</v>
      </c>
      <c r="G687" s="118" t="s">
        <v>52</v>
      </c>
      <c r="H687" s="118"/>
      <c r="I687" s="133" t="str">
        <f>I683</f>
        <v>26" nb</v>
      </c>
      <c r="J687" s="117"/>
      <c r="K687" s="133">
        <f>K683</f>
        <v>2</v>
      </c>
      <c r="L687" s="131" t="s">
        <v>81</v>
      </c>
      <c r="M687" s="174">
        <f>K687</f>
        <v>2</v>
      </c>
      <c r="N687" s="117" t="s">
        <v>81</v>
      </c>
      <c r="O687" s="133">
        <v>0</v>
      </c>
      <c r="P687" s="117"/>
      <c r="Q687" s="163">
        <f t="shared" ref="Q687:Q689" si="155">M687*O687</f>
        <v>0</v>
      </c>
      <c r="R687" s="161">
        <v>0</v>
      </c>
      <c r="S687" s="163">
        <f t="shared" ref="S687:S689" si="156">Q687+R687</f>
        <v>0</v>
      </c>
      <c r="T687" s="167" t="s">
        <v>48</v>
      </c>
    </row>
    <row r="688" spans="2:20" ht="20.25" customHeight="1">
      <c r="C688" s="109"/>
      <c r="D688" s="115">
        <f t="shared" si="136"/>
        <v>688</v>
      </c>
      <c r="E688" s="172" t="s">
        <v>104</v>
      </c>
      <c r="F688" s="121">
        <f>D687</f>
        <v>687</v>
      </c>
      <c r="G688" s="118" t="s">
        <v>52</v>
      </c>
      <c r="H688" s="118"/>
      <c r="I688" s="133" t="str">
        <f>I684</f>
        <v>2"nb</v>
      </c>
      <c r="J688" s="117"/>
      <c r="K688" s="133">
        <f>K684</f>
        <v>2</v>
      </c>
      <c r="L688" s="131" t="s">
        <v>81</v>
      </c>
      <c r="M688" s="174">
        <f>K688</f>
        <v>2</v>
      </c>
      <c r="N688" s="117" t="s">
        <v>81</v>
      </c>
      <c r="O688" s="133">
        <v>0</v>
      </c>
      <c r="P688" s="117"/>
      <c r="Q688" s="163">
        <f t="shared" si="155"/>
        <v>0</v>
      </c>
      <c r="R688" s="161">
        <v>0</v>
      </c>
      <c r="S688" s="163">
        <f t="shared" si="156"/>
        <v>0</v>
      </c>
      <c r="T688" s="167" t="s">
        <v>48</v>
      </c>
    </row>
    <row r="689" spans="2:20" ht="20.25" customHeight="1">
      <c r="C689" s="109"/>
      <c r="D689" s="115">
        <f t="shared" si="136"/>
        <v>689</v>
      </c>
      <c r="E689" s="172" t="s">
        <v>106</v>
      </c>
      <c r="F689" s="121">
        <f>D688</f>
        <v>688</v>
      </c>
      <c r="G689" s="118" t="s">
        <v>52</v>
      </c>
      <c r="H689" s="118"/>
      <c r="I689" s="117"/>
      <c r="J689" s="117"/>
      <c r="K689" s="133">
        <f>K688+K687</f>
        <v>4</v>
      </c>
      <c r="L689" s="131" t="s">
        <v>81</v>
      </c>
      <c r="M689" s="174">
        <f>K689</f>
        <v>4</v>
      </c>
      <c r="N689" s="117" t="s">
        <v>81</v>
      </c>
      <c r="O689" s="133">
        <v>0</v>
      </c>
      <c r="P689" s="117"/>
      <c r="Q689" s="163">
        <f t="shared" si="155"/>
        <v>0</v>
      </c>
      <c r="R689" s="161">
        <v>0</v>
      </c>
      <c r="S689" s="163">
        <f t="shared" si="156"/>
        <v>0</v>
      </c>
      <c r="T689" s="167" t="s">
        <v>48</v>
      </c>
    </row>
    <row r="690" spans="2:20" ht="20.25" customHeight="1">
      <c r="B690" s="124"/>
      <c r="C690" s="109">
        <f>D690</f>
        <v>690</v>
      </c>
      <c r="D690" s="115">
        <f t="shared" si="136"/>
        <v>690</v>
      </c>
      <c r="E690" s="126" t="s">
        <v>108</v>
      </c>
      <c r="F690" s="121">
        <f>D686</f>
        <v>686</v>
      </c>
      <c r="G690" s="118"/>
      <c r="H690" s="118"/>
      <c r="I690" s="117"/>
      <c r="J690" s="117"/>
      <c r="K690" s="131"/>
      <c r="L690" s="131"/>
      <c r="M690" s="132"/>
      <c r="N690" s="117"/>
      <c r="O690" s="133"/>
      <c r="P690" s="117"/>
      <c r="Q690" s="163"/>
      <c r="R690" s="161"/>
      <c r="S690" s="163"/>
      <c r="T690" s="162"/>
    </row>
    <row r="691" spans="2:20" ht="20.25" customHeight="1">
      <c r="C691" s="109"/>
      <c r="D691" s="115">
        <f t="shared" si="136"/>
        <v>691</v>
      </c>
      <c r="E691" s="171" t="s">
        <v>102</v>
      </c>
      <c r="F691" s="121">
        <f>D690</f>
        <v>690</v>
      </c>
      <c r="G691" s="118" t="s">
        <v>52</v>
      </c>
      <c r="H691" s="118"/>
      <c r="I691" s="133" t="str">
        <f>I683</f>
        <v>26" nb</v>
      </c>
      <c r="J691" s="117"/>
      <c r="K691" s="131">
        <f>K683</f>
        <v>2</v>
      </c>
      <c r="L691" s="131" t="s">
        <v>81</v>
      </c>
      <c r="M691" s="174">
        <v>2</v>
      </c>
      <c r="N691" s="117" t="s">
        <v>81</v>
      </c>
      <c r="O691" s="133">
        <v>4</v>
      </c>
      <c r="P691" s="117"/>
      <c r="Q691" s="163">
        <f t="shared" ref="Q691:Q693" si="157">M691*O691</f>
        <v>8</v>
      </c>
      <c r="R691" s="161">
        <v>0</v>
      </c>
      <c r="S691" s="163">
        <f t="shared" ref="S691:S693" si="158">Q691+R691</f>
        <v>8</v>
      </c>
      <c r="T691" s="167" t="s">
        <v>48</v>
      </c>
    </row>
    <row r="692" spans="2:20" ht="20.25" customHeight="1">
      <c r="C692" s="109"/>
      <c r="D692" s="115">
        <f t="shared" si="136"/>
        <v>692</v>
      </c>
      <c r="E692" s="171" t="s">
        <v>104</v>
      </c>
      <c r="F692" s="121">
        <f>D691</f>
        <v>691</v>
      </c>
      <c r="G692" s="118" t="s">
        <v>52</v>
      </c>
      <c r="H692" s="118"/>
      <c r="I692" s="133" t="str">
        <f>I684</f>
        <v>2"nb</v>
      </c>
      <c r="J692" s="117"/>
      <c r="K692" s="131">
        <f>K684</f>
        <v>2</v>
      </c>
      <c r="L692" s="131" t="s">
        <v>81</v>
      </c>
      <c r="M692" s="174">
        <v>2</v>
      </c>
      <c r="N692" s="117" t="s">
        <v>81</v>
      </c>
      <c r="O692" s="133">
        <v>0</v>
      </c>
      <c r="P692" s="117"/>
      <c r="Q692" s="163">
        <f t="shared" si="157"/>
        <v>0</v>
      </c>
      <c r="R692" s="161">
        <v>0</v>
      </c>
      <c r="S692" s="163">
        <f t="shared" si="158"/>
        <v>0</v>
      </c>
      <c r="T692" s="167" t="s">
        <v>48</v>
      </c>
    </row>
    <row r="693" spans="2:20" ht="20.25" customHeight="1">
      <c r="C693" s="109"/>
      <c r="D693" s="115">
        <f t="shared" si="136"/>
        <v>693</v>
      </c>
      <c r="E693" s="171" t="s">
        <v>109</v>
      </c>
      <c r="F693" s="121">
        <f>D692</f>
        <v>692</v>
      </c>
      <c r="G693" s="118" t="s">
        <v>52</v>
      </c>
      <c r="H693" s="118"/>
      <c r="I693" s="117"/>
      <c r="J693" s="117"/>
      <c r="K693" s="154">
        <f>K692+K691</f>
        <v>4</v>
      </c>
      <c r="L693" s="131" t="s">
        <v>81</v>
      </c>
      <c r="M693" s="174">
        <v>4</v>
      </c>
      <c r="N693" s="117" t="s">
        <v>81</v>
      </c>
      <c r="O693" s="133">
        <v>0</v>
      </c>
      <c r="P693" s="117"/>
      <c r="Q693" s="163">
        <f t="shared" si="157"/>
        <v>0</v>
      </c>
      <c r="R693" s="161">
        <v>0</v>
      </c>
      <c r="S693" s="163">
        <f t="shared" si="158"/>
        <v>0</v>
      </c>
      <c r="T693" s="167" t="s">
        <v>48</v>
      </c>
    </row>
    <row r="694" spans="2:20" ht="20.25" customHeight="1">
      <c r="B694" s="124"/>
      <c r="C694" s="109">
        <f>D694</f>
        <v>694</v>
      </c>
      <c r="D694" s="115">
        <f t="shared" si="136"/>
        <v>694</v>
      </c>
      <c r="E694" s="126" t="s">
        <v>110</v>
      </c>
      <c r="F694" s="121">
        <f>D690</f>
        <v>690</v>
      </c>
      <c r="G694" s="118"/>
      <c r="H694" s="118"/>
      <c r="I694" s="117"/>
      <c r="J694" s="117"/>
      <c r="K694" s="131"/>
      <c r="L694" s="131"/>
      <c r="M694" s="132"/>
      <c r="N694" s="117"/>
      <c r="O694" s="133"/>
      <c r="P694" s="117"/>
      <c r="Q694" s="163"/>
      <c r="R694" s="161"/>
      <c r="S694" s="163"/>
      <c r="T694" s="162"/>
    </row>
    <row r="695" spans="2:20" ht="20.25" customHeight="1">
      <c r="C695" s="109"/>
      <c r="D695" s="115">
        <f t="shared" si="136"/>
        <v>695</v>
      </c>
      <c r="E695" s="172" t="s">
        <v>102</v>
      </c>
      <c r="F695" s="121">
        <f>D694</f>
        <v>694</v>
      </c>
      <c r="G695" s="118" t="s">
        <v>626</v>
      </c>
      <c r="H695" s="118"/>
      <c r="I695" s="133" t="str">
        <f>I683</f>
        <v>26" nb</v>
      </c>
      <c r="J695" s="117"/>
      <c r="K695" s="131">
        <v>2</v>
      </c>
      <c r="L695" s="131" t="s">
        <v>50</v>
      </c>
      <c r="M695" s="174">
        <v>2</v>
      </c>
      <c r="N695" s="117" t="s">
        <v>50</v>
      </c>
      <c r="O695" s="133">
        <v>4</v>
      </c>
      <c r="P695" s="117" t="s">
        <v>112</v>
      </c>
      <c r="Q695" s="163">
        <f t="shared" ref="Q695:Q697" si="159">M695*O695</f>
        <v>8</v>
      </c>
      <c r="R695" s="161">
        <v>1</v>
      </c>
      <c r="S695" s="163">
        <f t="shared" ref="S695:S697" si="160">Q695+R695</f>
        <v>9</v>
      </c>
      <c r="T695" s="167" t="s">
        <v>48</v>
      </c>
    </row>
    <row r="696" spans="2:20" ht="20.25" customHeight="1">
      <c r="C696" s="109"/>
      <c r="D696" s="115">
        <f t="shared" si="136"/>
        <v>696</v>
      </c>
      <c r="E696" s="172" t="s">
        <v>104</v>
      </c>
      <c r="F696" s="121">
        <f>D695</f>
        <v>695</v>
      </c>
      <c r="G696" s="118" t="s">
        <v>626</v>
      </c>
      <c r="H696" s="118"/>
      <c r="I696" s="133" t="str">
        <f>I684</f>
        <v>2"nb</v>
      </c>
      <c r="J696" s="117"/>
      <c r="K696" s="131">
        <v>2</v>
      </c>
      <c r="L696" s="131" t="s">
        <v>50</v>
      </c>
      <c r="M696" s="174">
        <v>2</v>
      </c>
      <c r="N696" s="117" t="s">
        <v>50</v>
      </c>
      <c r="O696" s="133">
        <v>0</v>
      </c>
      <c r="P696" s="117" t="s">
        <v>112</v>
      </c>
      <c r="Q696" s="163">
        <f t="shared" si="159"/>
        <v>0</v>
      </c>
      <c r="R696" s="161">
        <v>1</v>
      </c>
      <c r="S696" s="163">
        <f t="shared" si="160"/>
        <v>1</v>
      </c>
      <c r="T696" s="167" t="s">
        <v>48</v>
      </c>
    </row>
    <row r="697" spans="2:20" ht="20.25" customHeight="1">
      <c r="C697" s="109"/>
      <c r="D697" s="115">
        <f t="shared" si="136"/>
        <v>697</v>
      </c>
      <c r="E697" s="172" t="s">
        <v>113</v>
      </c>
      <c r="F697" s="121">
        <f>D696</f>
        <v>696</v>
      </c>
      <c r="G697" s="118" t="s">
        <v>626</v>
      </c>
      <c r="H697" s="118"/>
      <c r="I697" s="117"/>
      <c r="J697" s="117"/>
      <c r="K697" s="131">
        <v>4</v>
      </c>
      <c r="L697" s="131" t="s">
        <v>50</v>
      </c>
      <c r="M697" s="174">
        <v>4</v>
      </c>
      <c r="N697" s="117" t="s">
        <v>50</v>
      </c>
      <c r="O697" s="133">
        <v>0.25</v>
      </c>
      <c r="P697" s="117" t="s">
        <v>112</v>
      </c>
      <c r="Q697" s="163">
        <f t="shared" si="159"/>
        <v>1</v>
      </c>
      <c r="R697" s="161">
        <v>1</v>
      </c>
      <c r="S697" s="163">
        <f t="shared" si="160"/>
        <v>2</v>
      </c>
      <c r="T697" s="167" t="s">
        <v>48</v>
      </c>
    </row>
    <row r="698" spans="2:20" ht="20.25" customHeight="1">
      <c r="B698" s="124"/>
      <c r="C698" s="109">
        <f>D698</f>
        <v>698</v>
      </c>
      <c r="D698" s="115">
        <f t="shared" si="136"/>
        <v>698</v>
      </c>
      <c r="E698" s="126" t="s">
        <v>114</v>
      </c>
      <c r="F698" s="121">
        <f>D694</f>
        <v>694</v>
      </c>
      <c r="G698" s="118"/>
      <c r="H698" s="118"/>
      <c r="I698" s="117"/>
      <c r="J698" s="117"/>
      <c r="K698" s="131"/>
      <c r="L698" s="131"/>
      <c r="M698" s="132"/>
      <c r="N698" s="117"/>
      <c r="O698" s="133"/>
      <c r="P698" s="117"/>
      <c r="Q698" s="163"/>
      <c r="R698" s="161"/>
      <c r="S698" s="163"/>
      <c r="T698" s="162"/>
    </row>
    <row r="699" spans="2:20" ht="20.25" customHeight="1">
      <c r="C699" s="109"/>
      <c r="D699" s="115">
        <f t="shared" si="136"/>
        <v>699</v>
      </c>
      <c r="E699" s="171" t="s">
        <v>102</v>
      </c>
      <c r="F699" s="121">
        <f>D698</f>
        <v>698</v>
      </c>
      <c r="G699" s="118" t="s">
        <v>115</v>
      </c>
      <c r="H699" s="118"/>
      <c r="I699" s="151" t="s">
        <v>116</v>
      </c>
      <c r="J699" s="151" t="s">
        <v>117</v>
      </c>
      <c r="K699" s="131">
        <v>2</v>
      </c>
      <c r="L699" s="131" t="s">
        <v>50</v>
      </c>
      <c r="M699" s="141">
        <f>LEFT(J699,SEARCH(" ",J699,1)-1)*K699*0.001</f>
        <v>6.1080000000000005</v>
      </c>
      <c r="N699" s="117" t="s">
        <v>50</v>
      </c>
      <c r="O699" s="175">
        <f>6.12</f>
        <v>6.12</v>
      </c>
      <c r="P699" s="117" t="s">
        <v>112</v>
      </c>
      <c r="Q699" s="163">
        <f>M699*O699</f>
        <v>37.380960000000002</v>
      </c>
      <c r="R699" s="161">
        <v>1</v>
      </c>
      <c r="S699" s="163">
        <f t="shared" ref="S699:S701" si="161">Q699+R699</f>
        <v>38.380960000000002</v>
      </c>
      <c r="T699" s="167" t="s">
        <v>48</v>
      </c>
    </row>
    <row r="700" spans="2:20" ht="20.25" customHeight="1">
      <c r="C700" s="109"/>
      <c r="D700" s="115">
        <f t="shared" si="136"/>
        <v>700</v>
      </c>
      <c r="E700" s="171" t="s">
        <v>104</v>
      </c>
      <c r="F700" s="121">
        <f>D699</f>
        <v>699</v>
      </c>
      <c r="G700" s="118" t="s">
        <v>115</v>
      </c>
      <c r="H700" s="118"/>
      <c r="I700" s="173" t="str">
        <f>I688</f>
        <v>2"nb</v>
      </c>
      <c r="J700" s="117"/>
      <c r="K700" s="131">
        <v>2</v>
      </c>
      <c r="L700" s="131" t="s">
        <v>50</v>
      </c>
      <c r="M700" s="174">
        <v>0</v>
      </c>
      <c r="N700" s="117" t="s">
        <v>50</v>
      </c>
      <c r="O700" s="175"/>
      <c r="P700" s="117" t="s">
        <v>112</v>
      </c>
      <c r="Q700" s="163">
        <f t="shared" ref="Q700:Q701" si="162">M700*O700</f>
        <v>0</v>
      </c>
      <c r="R700" s="161"/>
      <c r="S700" s="163">
        <f t="shared" si="161"/>
        <v>0</v>
      </c>
      <c r="T700" s="167" t="s">
        <v>48</v>
      </c>
    </row>
    <row r="701" spans="2:20" ht="20.25" customHeight="1">
      <c r="C701" s="109"/>
      <c r="D701" s="115">
        <f t="shared" si="136"/>
        <v>701</v>
      </c>
      <c r="E701" s="171" t="s">
        <v>109</v>
      </c>
      <c r="F701" s="121">
        <f>D700</f>
        <v>700</v>
      </c>
      <c r="G701" s="118" t="s">
        <v>115</v>
      </c>
      <c r="H701" s="118"/>
      <c r="I701" s="117"/>
      <c r="J701" s="117"/>
      <c r="K701" s="131">
        <v>4</v>
      </c>
      <c r="L701" s="131" t="s">
        <v>50</v>
      </c>
      <c r="M701" s="174">
        <v>4</v>
      </c>
      <c r="N701" s="117" t="s">
        <v>50</v>
      </c>
      <c r="O701" s="133">
        <v>0.25</v>
      </c>
      <c r="P701" s="117" t="s">
        <v>112</v>
      </c>
      <c r="Q701" s="163">
        <f t="shared" si="162"/>
        <v>1</v>
      </c>
      <c r="R701" s="161">
        <v>1</v>
      </c>
      <c r="S701" s="163">
        <f t="shared" si="161"/>
        <v>2</v>
      </c>
      <c r="T701" s="167" t="s">
        <v>48</v>
      </c>
    </row>
    <row r="702" spans="2:20" ht="20.25" customHeight="1">
      <c r="B702" s="124"/>
      <c r="C702" s="109">
        <f>D702</f>
        <v>702</v>
      </c>
      <c r="D702" s="115">
        <f t="shared" si="136"/>
        <v>702</v>
      </c>
      <c r="E702" s="126" t="s">
        <v>119</v>
      </c>
      <c r="F702" s="121">
        <f>D698</f>
        <v>698</v>
      </c>
      <c r="G702" s="118"/>
      <c r="H702" s="118"/>
      <c r="I702" s="117"/>
      <c r="J702" s="117"/>
      <c r="K702" s="131"/>
      <c r="L702" s="131"/>
      <c r="M702" s="132"/>
      <c r="N702" s="117"/>
      <c r="O702" s="133"/>
      <c r="P702" s="117"/>
      <c r="Q702" s="163"/>
      <c r="R702" s="161"/>
      <c r="S702" s="163"/>
      <c r="T702" s="162"/>
    </row>
    <row r="703" spans="2:20" ht="20.25" customHeight="1">
      <c r="C703" s="109"/>
      <c r="D703" s="115">
        <f t="shared" si="136"/>
        <v>703</v>
      </c>
      <c r="E703" s="172" t="s">
        <v>102</v>
      </c>
      <c r="F703" s="121">
        <f>D702</f>
        <v>702</v>
      </c>
      <c r="G703" s="118" t="s">
        <v>44</v>
      </c>
      <c r="H703" s="118"/>
      <c r="I703" s="133" t="str">
        <f>I691</f>
        <v>26" nb</v>
      </c>
      <c r="J703" s="117"/>
      <c r="K703" s="131">
        <v>2</v>
      </c>
      <c r="L703" s="131" t="s">
        <v>50</v>
      </c>
      <c r="M703" s="132">
        <v>1</v>
      </c>
      <c r="N703" s="117" t="s">
        <v>50</v>
      </c>
      <c r="O703" s="175">
        <v>4</v>
      </c>
      <c r="P703" s="117" t="s">
        <v>112</v>
      </c>
      <c r="Q703" s="163">
        <f t="shared" ref="Q703:Q705" si="163">M703*O703</f>
        <v>4</v>
      </c>
      <c r="R703" s="161">
        <v>1</v>
      </c>
      <c r="S703" s="163">
        <f t="shared" ref="S703:S705" si="164">Q703+R703</f>
        <v>5</v>
      </c>
      <c r="T703" s="167" t="s">
        <v>48</v>
      </c>
    </row>
    <row r="704" spans="2:20" ht="20.25" customHeight="1">
      <c r="C704" s="109"/>
      <c r="D704" s="115">
        <f t="shared" si="136"/>
        <v>704</v>
      </c>
      <c r="E704" s="172" t="s">
        <v>104</v>
      </c>
      <c r="F704" s="121">
        <f>D703</f>
        <v>703</v>
      </c>
      <c r="G704" s="118" t="s">
        <v>44</v>
      </c>
      <c r="H704" s="118"/>
      <c r="I704" s="133" t="str">
        <f>I692</f>
        <v>2"nb</v>
      </c>
      <c r="J704" s="117"/>
      <c r="K704" s="131">
        <v>2</v>
      </c>
      <c r="L704" s="131" t="s">
        <v>50</v>
      </c>
      <c r="M704" s="132">
        <v>1</v>
      </c>
      <c r="N704" s="117" t="s">
        <v>50</v>
      </c>
      <c r="O704" s="175">
        <v>1</v>
      </c>
      <c r="P704" s="117" t="s">
        <v>112</v>
      </c>
      <c r="Q704" s="163">
        <f t="shared" si="163"/>
        <v>1</v>
      </c>
      <c r="R704" s="161">
        <v>1</v>
      </c>
      <c r="S704" s="163">
        <f t="shared" si="164"/>
        <v>2</v>
      </c>
      <c r="T704" s="167" t="s">
        <v>48</v>
      </c>
    </row>
    <row r="705" spans="2:20" ht="20.25" customHeight="1">
      <c r="C705" s="109"/>
      <c r="D705" s="115">
        <f t="shared" si="136"/>
        <v>705</v>
      </c>
      <c r="E705" s="172" t="s">
        <v>109</v>
      </c>
      <c r="F705" s="121">
        <f>D704</f>
        <v>704</v>
      </c>
      <c r="G705" s="118" t="s">
        <v>44</v>
      </c>
      <c r="H705" s="118"/>
      <c r="I705" s="117"/>
      <c r="J705" s="117"/>
      <c r="K705" s="131">
        <v>4</v>
      </c>
      <c r="L705" s="131" t="s">
        <v>50</v>
      </c>
      <c r="M705" s="132">
        <v>1</v>
      </c>
      <c r="N705" s="117" t="s">
        <v>50</v>
      </c>
      <c r="O705" s="133">
        <v>1</v>
      </c>
      <c r="P705" s="117" t="s">
        <v>112</v>
      </c>
      <c r="Q705" s="163">
        <f t="shared" si="163"/>
        <v>1</v>
      </c>
      <c r="R705" s="161">
        <v>1</v>
      </c>
      <c r="S705" s="163">
        <f t="shared" si="164"/>
        <v>2</v>
      </c>
      <c r="T705" s="167" t="s">
        <v>48</v>
      </c>
    </row>
    <row r="706" spans="2:20" ht="20.25" customHeight="1">
      <c r="B706" s="124"/>
      <c r="C706" s="109">
        <f>D706</f>
        <v>706</v>
      </c>
      <c r="D706" s="115">
        <f t="shared" si="136"/>
        <v>706</v>
      </c>
      <c r="E706" s="126" t="s">
        <v>743</v>
      </c>
      <c r="F706" s="121">
        <f>D702</f>
        <v>702</v>
      </c>
      <c r="G706" s="118"/>
      <c r="H706" s="118"/>
      <c r="I706" s="117"/>
      <c r="J706" s="117"/>
      <c r="K706" s="131"/>
      <c r="L706" s="131"/>
      <c r="M706" s="132"/>
      <c r="N706" s="117"/>
      <c r="O706" s="133"/>
      <c r="P706" s="117"/>
      <c r="Q706" s="163"/>
      <c r="R706" s="161"/>
      <c r="S706" s="163"/>
      <c r="T706" s="162"/>
    </row>
    <row r="707" spans="2:20" ht="20.25" customHeight="1">
      <c r="C707" s="109"/>
      <c r="D707" s="115">
        <f t="shared" si="136"/>
        <v>707</v>
      </c>
      <c r="E707" s="171" t="s">
        <v>102</v>
      </c>
      <c r="F707" s="121">
        <f>D706</f>
        <v>706</v>
      </c>
      <c r="G707" s="118" t="s">
        <v>121</v>
      </c>
      <c r="H707" s="118"/>
      <c r="I707" s="133" t="str">
        <f>I695</f>
        <v>26" nb</v>
      </c>
      <c r="J707" s="117"/>
      <c r="K707" s="131">
        <v>2</v>
      </c>
      <c r="L707" s="131" t="s">
        <v>50</v>
      </c>
      <c r="M707" s="132">
        <v>0</v>
      </c>
      <c r="N707" s="117" t="s">
        <v>50</v>
      </c>
      <c r="O707" s="175"/>
      <c r="P707" s="117" t="s">
        <v>112</v>
      </c>
      <c r="Q707" s="163">
        <f t="shared" ref="Q707:Q709" si="165">M707*O707</f>
        <v>0</v>
      </c>
      <c r="R707" s="161">
        <v>1</v>
      </c>
      <c r="S707" s="163">
        <f t="shared" ref="S707:S709" si="166">Q707+R707</f>
        <v>1</v>
      </c>
      <c r="T707" s="167" t="s">
        <v>48</v>
      </c>
    </row>
    <row r="708" spans="2:20" ht="20.25" customHeight="1">
      <c r="C708" s="109"/>
      <c r="D708" s="115">
        <f t="shared" ref="D708:D771" si="167">D707+1</f>
        <v>708</v>
      </c>
      <c r="E708" s="171" t="s">
        <v>104</v>
      </c>
      <c r="F708" s="121">
        <f>D707</f>
        <v>707</v>
      </c>
      <c r="G708" s="118" t="s">
        <v>121</v>
      </c>
      <c r="H708" s="118"/>
      <c r="I708" s="133" t="str">
        <f>I696</f>
        <v>2"nb</v>
      </c>
      <c r="J708" s="117"/>
      <c r="K708" s="131">
        <v>2</v>
      </c>
      <c r="L708" s="131" t="s">
        <v>50</v>
      </c>
      <c r="M708" s="132">
        <v>0</v>
      </c>
      <c r="N708" s="117" t="s">
        <v>50</v>
      </c>
      <c r="O708" s="175"/>
      <c r="P708" s="117" t="s">
        <v>112</v>
      </c>
      <c r="Q708" s="163">
        <f t="shared" si="165"/>
        <v>0</v>
      </c>
      <c r="R708" s="161">
        <v>1</v>
      </c>
      <c r="S708" s="163">
        <f t="shared" si="166"/>
        <v>1</v>
      </c>
      <c r="T708" s="167" t="s">
        <v>48</v>
      </c>
    </row>
    <row r="709" spans="2:20" ht="20.25" customHeight="1">
      <c r="C709" s="109"/>
      <c r="D709" s="115">
        <f t="shared" si="167"/>
        <v>709</v>
      </c>
      <c r="E709" s="171" t="s">
        <v>109</v>
      </c>
      <c r="F709" s="121">
        <f>D708</f>
        <v>708</v>
      </c>
      <c r="G709" s="118" t="s">
        <v>121</v>
      </c>
      <c r="H709" s="118"/>
      <c r="I709" s="117"/>
      <c r="J709" s="117"/>
      <c r="K709" s="131">
        <v>4</v>
      </c>
      <c r="L709" s="131" t="s">
        <v>50</v>
      </c>
      <c r="M709" s="132">
        <v>0</v>
      </c>
      <c r="N709" s="117" t="s">
        <v>50</v>
      </c>
      <c r="O709" s="133"/>
      <c r="P709" s="117" t="s">
        <v>112</v>
      </c>
      <c r="Q709" s="163">
        <f t="shared" si="165"/>
        <v>0</v>
      </c>
      <c r="R709" s="161">
        <v>1</v>
      </c>
      <c r="S709" s="163">
        <f t="shared" si="166"/>
        <v>1</v>
      </c>
      <c r="T709" s="167" t="s">
        <v>48</v>
      </c>
    </row>
    <row r="710" spans="2:20" ht="20.25" customHeight="1">
      <c r="B710" s="124"/>
      <c r="C710" s="109">
        <f>D710</f>
        <v>710</v>
      </c>
      <c r="D710" s="115">
        <f t="shared" si="167"/>
        <v>710</v>
      </c>
      <c r="E710" s="126" t="s">
        <v>744</v>
      </c>
      <c r="F710" s="121">
        <f>D706</f>
        <v>706</v>
      </c>
      <c r="G710" s="118"/>
      <c r="H710" s="118"/>
      <c r="I710" s="117"/>
      <c r="J710" s="117"/>
      <c r="K710" s="131"/>
      <c r="L710" s="131"/>
      <c r="M710" s="132"/>
      <c r="N710" s="117"/>
      <c r="O710" s="133"/>
      <c r="P710" s="117"/>
      <c r="Q710" s="163"/>
      <c r="R710" s="161"/>
      <c r="S710" s="163"/>
      <c r="T710" s="162"/>
    </row>
    <row r="711" spans="2:20" ht="20.25" customHeight="1">
      <c r="C711" s="109"/>
      <c r="D711" s="115">
        <f t="shared" si="167"/>
        <v>711</v>
      </c>
      <c r="E711" s="172" t="s">
        <v>102</v>
      </c>
      <c r="F711" s="121">
        <f t="shared" ref="F711:F713" si="168">D710</f>
        <v>710</v>
      </c>
      <c r="G711" s="118" t="s">
        <v>121</v>
      </c>
      <c r="H711" s="118"/>
      <c r="I711" s="145" t="s">
        <v>123</v>
      </c>
      <c r="J711" s="151" t="s">
        <v>117</v>
      </c>
      <c r="K711" s="131">
        <v>2</v>
      </c>
      <c r="L711" s="131" t="s">
        <v>50</v>
      </c>
      <c r="M711" s="141">
        <f>LEFT(J711,SEARCH(" ",J711,1)-1)*K711*0.001</f>
        <v>6.1080000000000005</v>
      </c>
      <c r="N711" s="117" t="s">
        <v>50</v>
      </c>
      <c r="O711" s="175">
        <v>1</v>
      </c>
      <c r="P711" s="117" t="s">
        <v>112</v>
      </c>
      <c r="Q711" s="163">
        <f t="shared" ref="Q711:Q713" si="169">M711*O711</f>
        <v>6.1080000000000005</v>
      </c>
      <c r="R711" s="161">
        <v>1</v>
      </c>
      <c r="S711" s="163">
        <f t="shared" ref="S711:S713" si="170">Q711+R711</f>
        <v>7.1080000000000005</v>
      </c>
      <c r="T711" s="167" t="s">
        <v>48</v>
      </c>
    </row>
    <row r="712" spans="2:20" ht="20.25" customHeight="1">
      <c r="C712" s="109"/>
      <c r="D712" s="115">
        <f t="shared" si="167"/>
        <v>712</v>
      </c>
      <c r="E712" s="172" t="s">
        <v>104</v>
      </c>
      <c r="F712" s="121">
        <f t="shared" si="168"/>
        <v>711</v>
      </c>
      <c r="G712" s="118" t="s">
        <v>121</v>
      </c>
      <c r="H712" s="118"/>
      <c r="I712" s="117">
        <v>18</v>
      </c>
      <c r="J712" s="125" t="s">
        <v>745</v>
      </c>
      <c r="K712" s="131">
        <v>2</v>
      </c>
      <c r="L712" s="131" t="s">
        <v>50</v>
      </c>
      <c r="M712" s="141">
        <f>LEFT(J712,SEARCH(" ",J712,1)-1)*K712*0.001</f>
        <v>0.54400000000000004</v>
      </c>
      <c r="N712" s="117" t="s">
        <v>50</v>
      </c>
      <c r="O712" s="175">
        <v>0.5</v>
      </c>
      <c r="P712" s="117" t="s">
        <v>112</v>
      </c>
      <c r="Q712" s="163">
        <f t="shared" si="169"/>
        <v>0.27200000000000002</v>
      </c>
      <c r="R712" s="161">
        <v>1</v>
      </c>
      <c r="S712" s="163">
        <f t="shared" si="170"/>
        <v>1.272</v>
      </c>
      <c r="T712" s="167" t="s">
        <v>48</v>
      </c>
    </row>
    <row r="713" spans="2:20" ht="20.25" customHeight="1">
      <c r="C713" s="109"/>
      <c r="D713" s="115">
        <f t="shared" si="167"/>
        <v>713</v>
      </c>
      <c r="E713" s="172" t="s">
        <v>109</v>
      </c>
      <c r="F713" s="121">
        <f t="shared" si="168"/>
        <v>712</v>
      </c>
      <c r="G713" s="118" t="s">
        <v>121</v>
      </c>
      <c r="H713" s="118"/>
      <c r="I713" s="117"/>
      <c r="J713" s="117"/>
      <c r="K713" s="131">
        <v>4</v>
      </c>
      <c r="L713" s="131" t="s">
        <v>50</v>
      </c>
      <c r="M713" s="132">
        <v>1</v>
      </c>
      <c r="N713" s="117" t="s">
        <v>50</v>
      </c>
      <c r="O713" s="133">
        <v>1</v>
      </c>
      <c r="P713" s="117" t="s">
        <v>112</v>
      </c>
      <c r="Q713" s="163">
        <f t="shared" si="169"/>
        <v>1</v>
      </c>
      <c r="R713" s="161">
        <v>1</v>
      </c>
      <c r="S713" s="163">
        <f t="shared" si="170"/>
        <v>2</v>
      </c>
      <c r="T713" s="167" t="s">
        <v>48</v>
      </c>
    </row>
    <row r="714" spans="2:20" ht="20.25" customHeight="1">
      <c r="B714" s="124"/>
      <c r="C714" s="109">
        <f>D714</f>
        <v>714</v>
      </c>
      <c r="D714" s="115">
        <f t="shared" si="167"/>
        <v>714</v>
      </c>
      <c r="E714" s="126" t="s">
        <v>124</v>
      </c>
      <c r="F714" s="121">
        <f>D710</f>
        <v>710</v>
      </c>
      <c r="G714" s="118"/>
      <c r="H714" s="118"/>
      <c r="I714" s="117"/>
      <c r="J714" s="117"/>
      <c r="K714" s="131"/>
      <c r="L714" s="131"/>
      <c r="M714" s="132"/>
      <c r="N714" s="117"/>
      <c r="O714" s="133"/>
      <c r="P714" s="117"/>
      <c r="Q714" s="163"/>
      <c r="R714" s="161"/>
      <c r="S714" s="163"/>
      <c r="T714" s="162"/>
    </row>
    <row r="715" spans="2:20" ht="20.25" customHeight="1">
      <c r="C715" s="109"/>
      <c r="D715" s="115">
        <f t="shared" si="167"/>
        <v>715</v>
      </c>
      <c r="E715" s="119" t="s">
        <v>125</v>
      </c>
      <c r="F715" s="121">
        <f t="shared" ref="F715:F717" si="171">D714</f>
        <v>714</v>
      </c>
      <c r="G715" s="118" t="s">
        <v>44</v>
      </c>
      <c r="H715" s="118"/>
      <c r="I715" s="151" t="s">
        <v>103</v>
      </c>
      <c r="J715" s="117"/>
      <c r="K715" s="173">
        <v>2</v>
      </c>
      <c r="L715" s="131" t="s">
        <v>81</v>
      </c>
      <c r="M715" s="174">
        <f>K715</f>
        <v>2</v>
      </c>
      <c r="N715" s="117" t="s">
        <v>81</v>
      </c>
      <c r="O715" s="133">
        <v>1</v>
      </c>
      <c r="P715" s="117"/>
      <c r="Q715" s="163">
        <f t="shared" ref="Q715:Q717" si="172">M715*O715</f>
        <v>2</v>
      </c>
      <c r="R715" s="161">
        <v>1</v>
      </c>
      <c r="S715" s="163">
        <f t="shared" ref="S715:S717" si="173">Q715+R715</f>
        <v>3</v>
      </c>
      <c r="T715" s="167" t="s">
        <v>48</v>
      </c>
    </row>
    <row r="716" spans="2:20" ht="20.25" customHeight="1">
      <c r="C716" s="109"/>
      <c r="D716" s="115">
        <f t="shared" si="167"/>
        <v>716</v>
      </c>
      <c r="E716" s="119" t="s">
        <v>104</v>
      </c>
      <c r="F716" s="121">
        <f t="shared" si="171"/>
        <v>715</v>
      </c>
      <c r="G716" s="118" t="s">
        <v>44</v>
      </c>
      <c r="H716" s="118"/>
      <c r="I716" s="151" t="s">
        <v>105</v>
      </c>
      <c r="J716" s="117"/>
      <c r="K716" s="173">
        <v>2</v>
      </c>
      <c r="L716" s="131" t="s">
        <v>81</v>
      </c>
      <c r="M716" s="174">
        <f>K716</f>
        <v>2</v>
      </c>
      <c r="N716" s="117" t="s">
        <v>81</v>
      </c>
      <c r="O716" s="133">
        <v>1</v>
      </c>
      <c r="P716" s="117"/>
      <c r="Q716" s="163">
        <f t="shared" si="172"/>
        <v>2</v>
      </c>
      <c r="R716" s="161">
        <v>1</v>
      </c>
      <c r="S716" s="163">
        <f t="shared" si="173"/>
        <v>3</v>
      </c>
      <c r="T716" s="167" t="s">
        <v>48</v>
      </c>
    </row>
    <row r="717" spans="2:20" ht="20.25" customHeight="1">
      <c r="C717" s="109"/>
      <c r="D717" s="115">
        <f t="shared" si="167"/>
        <v>717</v>
      </c>
      <c r="E717" s="119" t="s">
        <v>109</v>
      </c>
      <c r="F717" s="121">
        <f t="shared" si="171"/>
        <v>716</v>
      </c>
      <c r="G717" s="118" t="s">
        <v>44</v>
      </c>
      <c r="H717" s="118"/>
      <c r="I717" s="117"/>
      <c r="J717" s="117"/>
      <c r="K717" s="173">
        <f>K716+K715</f>
        <v>4</v>
      </c>
      <c r="L717" s="131" t="s">
        <v>81</v>
      </c>
      <c r="M717" s="174">
        <f>K717</f>
        <v>4</v>
      </c>
      <c r="N717" s="117" t="s">
        <v>81</v>
      </c>
      <c r="O717" s="133">
        <v>0.5</v>
      </c>
      <c r="P717" s="117"/>
      <c r="Q717" s="163">
        <f t="shared" si="172"/>
        <v>2</v>
      </c>
      <c r="R717" s="161">
        <v>1</v>
      </c>
      <c r="S717" s="163">
        <f t="shared" si="173"/>
        <v>3</v>
      </c>
      <c r="T717" s="167" t="s">
        <v>48</v>
      </c>
    </row>
    <row r="718" spans="2:20" ht="20.25" customHeight="1">
      <c r="B718" s="124"/>
      <c r="C718" s="109">
        <f>D718</f>
        <v>718</v>
      </c>
      <c r="D718" s="115">
        <f t="shared" si="167"/>
        <v>718</v>
      </c>
      <c r="E718" s="126" t="s">
        <v>126</v>
      </c>
      <c r="F718" s="125">
        <f>D714</f>
        <v>714</v>
      </c>
      <c r="G718" s="118"/>
      <c r="H718" s="118"/>
      <c r="I718" s="117"/>
      <c r="J718" s="117"/>
      <c r="K718" s="131"/>
      <c r="L718" s="131"/>
      <c r="M718" s="132"/>
      <c r="N718" s="117"/>
      <c r="O718" s="133"/>
      <c r="P718" s="117"/>
      <c r="Q718" s="163"/>
      <c r="R718" s="161"/>
      <c r="S718" s="163"/>
      <c r="T718" s="162"/>
    </row>
    <row r="719" spans="2:20" ht="20.25" customHeight="1">
      <c r="C719" s="109"/>
      <c r="D719" s="115">
        <f t="shared" si="167"/>
        <v>719</v>
      </c>
      <c r="E719" s="119" t="s">
        <v>125</v>
      </c>
      <c r="F719" s="121">
        <f t="shared" ref="F719:F721" si="174">D718</f>
        <v>718</v>
      </c>
      <c r="G719" s="118" t="s">
        <v>52</v>
      </c>
      <c r="H719" s="118"/>
      <c r="I719" s="133" t="str">
        <f>I715</f>
        <v>26" nb</v>
      </c>
      <c r="J719" s="117"/>
      <c r="K719" s="133">
        <f>K715</f>
        <v>2</v>
      </c>
      <c r="L719" s="131" t="s">
        <v>81</v>
      </c>
      <c r="M719" s="174">
        <f>K719</f>
        <v>2</v>
      </c>
      <c r="N719" s="117" t="s">
        <v>81</v>
      </c>
      <c r="O719" s="133">
        <v>0</v>
      </c>
      <c r="P719" s="117"/>
      <c r="Q719" s="163">
        <f t="shared" ref="Q719:Q721" si="175">M719*O719</f>
        <v>0</v>
      </c>
      <c r="R719" s="161">
        <v>0</v>
      </c>
      <c r="S719" s="163">
        <f t="shared" ref="S719:S721" si="176">Q719+R719</f>
        <v>0</v>
      </c>
      <c r="T719" s="167" t="s">
        <v>48</v>
      </c>
    </row>
    <row r="720" spans="2:20" ht="20.25" customHeight="1">
      <c r="C720" s="109"/>
      <c r="D720" s="115">
        <f t="shared" si="167"/>
        <v>720</v>
      </c>
      <c r="E720" s="119" t="s">
        <v>104</v>
      </c>
      <c r="F720" s="121">
        <f t="shared" si="174"/>
        <v>719</v>
      </c>
      <c r="G720" s="118" t="s">
        <v>52</v>
      </c>
      <c r="H720" s="118"/>
      <c r="I720" s="133" t="str">
        <f>I716</f>
        <v>2"nb</v>
      </c>
      <c r="J720" s="117"/>
      <c r="K720" s="133">
        <f>K716</f>
        <v>2</v>
      </c>
      <c r="L720" s="131" t="s">
        <v>81</v>
      </c>
      <c r="M720" s="174">
        <f>K720</f>
        <v>2</v>
      </c>
      <c r="N720" s="117" t="s">
        <v>81</v>
      </c>
      <c r="O720" s="133">
        <v>0</v>
      </c>
      <c r="P720" s="117"/>
      <c r="Q720" s="163">
        <f t="shared" si="175"/>
        <v>0</v>
      </c>
      <c r="R720" s="161">
        <v>0</v>
      </c>
      <c r="S720" s="163">
        <f t="shared" si="176"/>
        <v>0</v>
      </c>
      <c r="T720" s="167" t="s">
        <v>48</v>
      </c>
    </row>
    <row r="721" spans="2:20" ht="20.25" customHeight="1">
      <c r="C721" s="109"/>
      <c r="D721" s="115">
        <f t="shared" si="167"/>
        <v>721</v>
      </c>
      <c r="E721" s="119" t="s">
        <v>109</v>
      </c>
      <c r="F721" s="121">
        <f t="shared" si="174"/>
        <v>720</v>
      </c>
      <c r="G721" s="118" t="s">
        <v>52</v>
      </c>
      <c r="H721" s="118"/>
      <c r="I721" s="117"/>
      <c r="J721" s="117"/>
      <c r="K721" s="133">
        <f>K720+K719</f>
        <v>4</v>
      </c>
      <c r="L721" s="131" t="s">
        <v>81</v>
      </c>
      <c r="M721" s="174">
        <f>K721</f>
        <v>4</v>
      </c>
      <c r="N721" s="117" t="s">
        <v>81</v>
      </c>
      <c r="O721" s="133">
        <v>0</v>
      </c>
      <c r="P721" s="117"/>
      <c r="Q721" s="163">
        <f t="shared" si="175"/>
        <v>0</v>
      </c>
      <c r="R721" s="161">
        <v>0</v>
      </c>
      <c r="S721" s="163">
        <f t="shared" si="176"/>
        <v>0</v>
      </c>
      <c r="T721" s="167" t="s">
        <v>48</v>
      </c>
    </row>
    <row r="722" spans="2:20" ht="20.25" customHeight="1">
      <c r="B722" s="124"/>
      <c r="C722" s="109">
        <f>D722</f>
        <v>722</v>
      </c>
      <c r="D722" s="115">
        <f t="shared" si="167"/>
        <v>722</v>
      </c>
      <c r="E722" s="126" t="s">
        <v>127</v>
      </c>
      <c r="F722" s="121">
        <f>D718</f>
        <v>718</v>
      </c>
      <c r="G722" s="118"/>
      <c r="H722" s="118"/>
      <c r="I722" s="117"/>
      <c r="J722" s="117"/>
      <c r="K722" s="131"/>
      <c r="L722" s="131"/>
      <c r="M722" s="132"/>
      <c r="N722" s="117"/>
      <c r="O722" s="133"/>
      <c r="P722" s="117"/>
      <c r="Q722" s="163"/>
      <c r="R722" s="161"/>
      <c r="S722" s="163"/>
      <c r="T722" s="162"/>
    </row>
    <row r="723" spans="2:20" ht="20.25" customHeight="1">
      <c r="C723" s="109"/>
      <c r="D723" s="115">
        <f t="shared" si="167"/>
        <v>723</v>
      </c>
      <c r="E723" s="119" t="s">
        <v>125</v>
      </c>
      <c r="F723" s="121">
        <f t="shared" ref="F723:F725" si="177">D722</f>
        <v>722</v>
      </c>
      <c r="G723" s="118" t="s">
        <v>121</v>
      </c>
      <c r="H723" s="118"/>
      <c r="I723" s="133" t="str">
        <f>I715</f>
        <v>26" nb</v>
      </c>
      <c r="J723" s="117"/>
      <c r="K723" s="131">
        <f>K715</f>
        <v>2</v>
      </c>
      <c r="L723" s="131" t="s">
        <v>81</v>
      </c>
      <c r="M723" s="174">
        <v>2</v>
      </c>
      <c r="N723" s="117" t="s">
        <v>81</v>
      </c>
      <c r="O723" s="133">
        <v>4</v>
      </c>
      <c r="P723" s="117"/>
      <c r="Q723" s="163">
        <f t="shared" ref="Q723:Q725" si="178">M723*O723</f>
        <v>8</v>
      </c>
      <c r="R723" s="161">
        <v>0</v>
      </c>
      <c r="S723" s="163">
        <f t="shared" ref="S723:S725" si="179">Q723+R723</f>
        <v>8</v>
      </c>
      <c r="T723" s="167" t="s">
        <v>48</v>
      </c>
    </row>
    <row r="724" spans="2:20" ht="20.25" customHeight="1">
      <c r="C724" s="109"/>
      <c r="D724" s="115">
        <f t="shared" si="167"/>
        <v>724</v>
      </c>
      <c r="E724" s="119" t="s">
        <v>104</v>
      </c>
      <c r="F724" s="121">
        <f t="shared" si="177"/>
        <v>723</v>
      </c>
      <c r="G724" s="118" t="s">
        <v>121</v>
      </c>
      <c r="H724" s="118"/>
      <c r="I724" s="133" t="str">
        <f>I716</f>
        <v>2"nb</v>
      </c>
      <c r="J724" s="117"/>
      <c r="K724" s="131">
        <f>K716</f>
        <v>2</v>
      </c>
      <c r="L724" s="131" t="s">
        <v>81</v>
      </c>
      <c r="M724" s="174">
        <v>2</v>
      </c>
      <c r="N724" s="117" t="s">
        <v>81</v>
      </c>
      <c r="O724" s="133">
        <v>0</v>
      </c>
      <c r="P724" s="117"/>
      <c r="Q724" s="163">
        <f t="shared" si="178"/>
        <v>0</v>
      </c>
      <c r="R724" s="161">
        <v>0</v>
      </c>
      <c r="S724" s="163">
        <f t="shared" si="179"/>
        <v>0</v>
      </c>
      <c r="T724" s="167" t="s">
        <v>48</v>
      </c>
    </row>
    <row r="725" spans="2:20" ht="20.25" customHeight="1">
      <c r="C725" s="109"/>
      <c r="D725" s="115">
        <f t="shared" si="167"/>
        <v>725</v>
      </c>
      <c r="E725" s="119" t="s">
        <v>109</v>
      </c>
      <c r="F725" s="121">
        <f t="shared" si="177"/>
        <v>724</v>
      </c>
      <c r="G725" s="118" t="s">
        <v>121</v>
      </c>
      <c r="H725" s="118"/>
      <c r="I725" s="117"/>
      <c r="J725" s="117"/>
      <c r="K725" s="154">
        <f>K724+K723</f>
        <v>4</v>
      </c>
      <c r="L725" s="131" t="s">
        <v>81</v>
      </c>
      <c r="M725" s="174">
        <v>4</v>
      </c>
      <c r="N725" s="117" t="s">
        <v>81</v>
      </c>
      <c r="O725" s="133">
        <v>0</v>
      </c>
      <c r="P725" s="117"/>
      <c r="Q725" s="163">
        <f t="shared" si="178"/>
        <v>0</v>
      </c>
      <c r="R725" s="161">
        <v>0</v>
      </c>
      <c r="S725" s="163">
        <f t="shared" si="179"/>
        <v>0</v>
      </c>
      <c r="T725" s="167" t="s">
        <v>48</v>
      </c>
    </row>
    <row r="726" spans="2:20" ht="20.25" customHeight="1">
      <c r="B726" s="124"/>
      <c r="C726" s="109">
        <f>D726</f>
        <v>726</v>
      </c>
      <c r="D726" s="115">
        <f t="shared" si="167"/>
        <v>726</v>
      </c>
      <c r="E726" s="126" t="s">
        <v>128</v>
      </c>
      <c r="F726" s="121">
        <f>D722</f>
        <v>722</v>
      </c>
      <c r="G726" s="118"/>
      <c r="H726" s="118"/>
      <c r="I726" s="117"/>
      <c r="J726" s="117"/>
      <c r="K726" s="131"/>
      <c r="L726" s="131"/>
      <c r="M726" s="132"/>
      <c r="N726" s="117"/>
      <c r="O726" s="133"/>
      <c r="P726" s="117"/>
      <c r="Q726" s="163"/>
      <c r="R726" s="161"/>
      <c r="S726" s="163"/>
      <c r="T726" s="162"/>
    </row>
    <row r="727" spans="2:20" ht="20.25" customHeight="1">
      <c r="C727" s="109"/>
      <c r="D727" s="115">
        <f t="shared" si="167"/>
        <v>727</v>
      </c>
      <c r="E727" s="119" t="s">
        <v>125</v>
      </c>
      <c r="F727" s="121">
        <f t="shared" ref="F727:F729" si="180">D726</f>
        <v>726</v>
      </c>
      <c r="G727" s="118" t="s">
        <v>626</v>
      </c>
      <c r="H727" s="118"/>
      <c r="I727" s="133" t="str">
        <f>I715</f>
        <v>26" nb</v>
      </c>
      <c r="J727" s="117"/>
      <c r="K727" s="131">
        <v>2</v>
      </c>
      <c r="L727" s="131" t="s">
        <v>50</v>
      </c>
      <c r="M727" s="174">
        <v>2</v>
      </c>
      <c r="N727" s="117" t="s">
        <v>50</v>
      </c>
      <c r="O727" s="133">
        <v>4</v>
      </c>
      <c r="P727" s="117" t="s">
        <v>112</v>
      </c>
      <c r="Q727" s="163">
        <f t="shared" ref="Q727:Q729" si="181">M727*O727</f>
        <v>8</v>
      </c>
      <c r="R727" s="161">
        <v>1</v>
      </c>
      <c r="S727" s="163">
        <f t="shared" ref="S727:S729" si="182">Q727+R727</f>
        <v>9</v>
      </c>
      <c r="T727" s="167" t="s">
        <v>48</v>
      </c>
    </row>
    <row r="728" spans="2:20" ht="20.25" customHeight="1">
      <c r="C728" s="109"/>
      <c r="D728" s="115">
        <f t="shared" si="167"/>
        <v>728</v>
      </c>
      <c r="E728" s="119" t="s">
        <v>104</v>
      </c>
      <c r="F728" s="121">
        <f t="shared" si="180"/>
        <v>727</v>
      </c>
      <c r="G728" s="118" t="s">
        <v>626</v>
      </c>
      <c r="H728" s="118"/>
      <c r="I728" s="133" t="str">
        <f>I716</f>
        <v>2"nb</v>
      </c>
      <c r="J728" s="117"/>
      <c r="K728" s="131">
        <v>2</v>
      </c>
      <c r="L728" s="131" t="s">
        <v>50</v>
      </c>
      <c r="M728" s="174">
        <v>2</v>
      </c>
      <c r="N728" s="117" t="s">
        <v>50</v>
      </c>
      <c r="O728" s="133">
        <v>0</v>
      </c>
      <c r="P728" s="117" t="s">
        <v>112</v>
      </c>
      <c r="Q728" s="163">
        <f t="shared" si="181"/>
        <v>0</v>
      </c>
      <c r="R728" s="161">
        <v>1</v>
      </c>
      <c r="S728" s="163">
        <f t="shared" si="182"/>
        <v>1</v>
      </c>
      <c r="T728" s="167" t="s">
        <v>48</v>
      </c>
    </row>
    <row r="729" spans="2:20" ht="20.25" customHeight="1">
      <c r="C729" s="109"/>
      <c r="D729" s="115">
        <f t="shared" si="167"/>
        <v>729</v>
      </c>
      <c r="E729" s="119" t="s">
        <v>109</v>
      </c>
      <c r="F729" s="121">
        <f t="shared" si="180"/>
        <v>728</v>
      </c>
      <c r="G729" s="118" t="s">
        <v>626</v>
      </c>
      <c r="H729" s="118"/>
      <c r="I729" s="117"/>
      <c r="J729" s="117"/>
      <c r="K729" s="131">
        <v>4</v>
      </c>
      <c r="L729" s="131" t="s">
        <v>50</v>
      </c>
      <c r="M729" s="174">
        <v>4</v>
      </c>
      <c r="N729" s="117" t="s">
        <v>50</v>
      </c>
      <c r="O729" s="133">
        <v>0.25</v>
      </c>
      <c r="P729" s="117" t="s">
        <v>112</v>
      </c>
      <c r="Q729" s="163">
        <f t="shared" si="181"/>
        <v>1</v>
      </c>
      <c r="R729" s="161">
        <v>1</v>
      </c>
      <c r="S729" s="163">
        <f t="shared" si="182"/>
        <v>2</v>
      </c>
      <c r="T729" s="167" t="s">
        <v>48</v>
      </c>
    </row>
    <row r="730" spans="2:20" ht="20.25" customHeight="1">
      <c r="B730" s="124"/>
      <c r="C730" s="109">
        <f>D730</f>
        <v>730</v>
      </c>
      <c r="D730" s="115">
        <f t="shared" si="167"/>
        <v>730</v>
      </c>
      <c r="E730" s="126" t="s">
        <v>129</v>
      </c>
      <c r="F730" s="121">
        <f>D726</f>
        <v>726</v>
      </c>
      <c r="G730" s="118"/>
      <c r="H730" s="118"/>
      <c r="I730" s="117"/>
      <c r="J730" s="117"/>
      <c r="K730" s="131"/>
      <c r="L730" s="131"/>
      <c r="M730" s="132"/>
      <c r="N730" s="117"/>
      <c r="O730" s="133"/>
      <c r="P730" s="117"/>
      <c r="Q730" s="163"/>
      <c r="R730" s="161"/>
      <c r="S730" s="163"/>
      <c r="T730" s="162"/>
    </row>
    <row r="731" spans="2:20" ht="20.25" customHeight="1">
      <c r="C731" s="109"/>
      <c r="D731" s="115">
        <f t="shared" si="167"/>
        <v>731</v>
      </c>
      <c r="E731" s="119" t="s">
        <v>125</v>
      </c>
      <c r="F731" s="121">
        <f t="shared" ref="F731:F733" si="183">D730</f>
        <v>730</v>
      </c>
      <c r="G731" s="118" t="s">
        <v>115</v>
      </c>
      <c r="H731" s="118"/>
      <c r="I731" s="151" t="s">
        <v>116</v>
      </c>
      <c r="J731" s="151" t="s">
        <v>117</v>
      </c>
      <c r="K731" s="131">
        <v>2</v>
      </c>
      <c r="L731" s="131" t="s">
        <v>50</v>
      </c>
      <c r="M731" s="141">
        <f>LEFT(J731,SEARCH(" ",J731,1)-1)*K731*0.001</f>
        <v>6.1080000000000005</v>
      </c>
      <c r="N731" s="117" t="s">
        <v>50</v>
      </c>
      <c r="O731" s="175">
        <f>6.12</f>
        <v>6.12</v>
      </c>
      <c r="P731" s="117" t="s">
        <v>112</v>
      </c>
      <c r="Q731" s="163">
        <f>M731*O731</f>
        <v>37.380960000000002</v>
      </c>
      <c r="R731" s="161">
        <v>1</v>
      </c>
      <c r="S731" s="163">
        <f t="shared" ref="S731:S733" si="184">Q731+R731</f>
        <v>38.380960000000002</v>
      </c>
      <c r="T731" s="167" t="s">
        <v>48</v>
      </c>
    </row>
    <row r="732" spans="2:20" ht="20.25" customHeight="1">
      <c r="C732" s="109"/>
      <c r="D732" s="115">
        <f t="shared" si="167"/>
        <v>732</v>
      </c>
      <c r="E732" s="119" t="s">
        <v>104</v>
      </c>
      <c r="F732" s="121">
        <f t="shared" si="183"/>
        <v>731</v>
      </c>
      <c r="G732" s="118" t="s">
        <v>115</v>
      </c>
      <c r="H732" s="118"/>
      <c r="I732" s="173" t="str">
        <f>I720</f>
        <v>2"nb</v>
      </c>
      <c r="J732" s="117"/>
      <c r="K732" s="131">
        <v>2</v>
      </c>
      <c r="L732" s="131" t="s">
        <v>50</v>
      </c>
      <c r="M732" s="174">
        <v>0</v>
      </c>
      <c r="N732" s="117" t="s">
        <v>50</v>
      </c>
      <c r="O732" s="175"/>
      <c r="P732" s="117" t="s">
        <v>112</v>
      </c>
      <c r="Q732" s="163">
        <f t="shared" ref="Q732:Q733" si="185">M732*O732</f>
        <v>0</v>
      </c>
      <c r="R732" s="161"/>
      <c r="S732" s="163">
        <f t="shared" si="184"/>
        <v>0</v>
      </c>
      <c r="T732" s="167" t="s">
        <v>48</v>
      </c>
    </row>
    <row r="733" spans="2:20" ht="20.25" customHeight="1">
      <c r="C733" s="109"/>
      <c r="D733" s="115">
        <f t="shared" si="167"/>
        <v>733</v>
      </c>
      <c r="E733" s="119" t="s">
        <v>109</v>
      </c>
      <c r="F733" s="121">
        <f t="shared" si="183"/>
        <v>732</v>
      </c>
      <c r="G733" s="118" t="s">
        <v>115</v>
      </c>
      <c r="H733" s="118"/>
      <c r="I733" s="117"/>
      <c r="J733" s="117"/>
      <c r="K733" s="131">
        <v>4</v>
      </c>
      <c r="L733" s="131" t="s">
        <v>50</v>
      </c>
      <c r="M733" s="174">
        <v>4</v>
      </c>
      <c r="N733" s="117" t="s">
        <v>50</v>
      </c>
      <c r="O733" s="133">
        <v>0.25</v>
      </c>
      <c r="P733" s="117" t="s">
        <v>112</v>
      </c>
      <c r="Q733" s="163">
        <f t="shared" si="185"/>
        <v>1</v>
      </c>
      <c r="R733" s="161">
        <v>1</v>
      </c>
      <c r="S733" s="163">
        <f t="shared" si="184"/>
        <v>2</v>
      </c>
      <c r="T733" s="167" t="s">
        <v>48</v>
      </c>
    </row>
    <row r="734" spans="2:20" ht="20.25" customHeight="1">
      <c r="B734" s="124"/>
      <c r="C734" s="109">
        <f>D734</f>
        <v>734</v>
      </c>
      <c r="D734" s="115">
        <f t="shared" si="167"/>
        <v>734</v>
      </c>
      <c r="E734" s="126" t="s">
        <v>130</v>
      </c>
      <c r="F734" s="121">
        <f>D730</f>
        <v>730</v>
      </c>
      <c r="G734" s="118"/>
      <c r="H734" s="118"/>
      <c r="I734" s="117"/>
      <c r="J734" s="117"/>
      <c r="K734" s="131"/>
      <c r="L734" s="131"/>
      <c r="M734" s="132"/>
      <c r="N734" s="117"/>
      <c r="O734" s="133"/>
      <c r="P734" s="117"/>
      <c r="Q734" s="163"/>
      <c r="R734" s="161"/>
      <c r="S734" s="163"/>
      <c r="T734" s="162"/>
    </row>
    <row r="735" spans="2:20" ht="20.25" customHeight="1">
      <c r="C735" s="109"/>
      <c r="D735" s="115">
        <f t="shared" si="167"/>
        <v>735</v>
      </c>
      <c r="E735" s="119" t="s">
        <v>125</v>
      </c>
      <c r="F735" s="121">
        <f t="shared" ref="F735:F737" si="186">D734</f>
        <v>734</v>
      </c>
      <c r="G735" s="118" t="s">
        <v>44</v>
      </c>
      <c r="H735" s="118"/>
      <c r="I735" s="133" t="str">
        <f>I723</f>
        <v>26" nb</v>
      </c>
      <c r="J735" s="117"/>
      <c r="K735" s="131">
        <v>2</v>
      </c>
      <c r="L735" s="131" t="s">
        <v>50</v>
      </c>
      <c r="M735" s="132">
        <v>1</v>
      </c>
      <c r="N735" s="117" t="s">
        <v>50</v>
      </c>
      <c r="O735" s="175">
        <v>4</v>
      </c>
      <c r="P735" s="117" t="s">
        <v>112</v>
      </c>
      <c r="Q735" s="163">
        <f t="shared" ref="Q735:Q737" si="187">M735*O735</f>
        <v>4</v>
      </c>
      <c r="R735" s="161">
        <v>1</v>
      </c>
      <c r="S735" s="163">
        <f t="shared" ref="S735:S737" si="188">Q735+R735</f>
        <v>5</v>
      </c>
      <c r="T735" s="167" t="s">
        <v>48</v>
      </c>
    </row>
    <row r="736" spans="2:20" ht="20.25" customHeight="1">
      <c r="C736" s="109"/>
      <c r="D736" s="115">
        <f t="shared" si="167"/>
        <v>736</v>
      </c>
      <c r="E736" s="119" t="s">
        <v>104</v>
      </c>
      <c r="F736" s="121">
        <f t="shared" si="186"/>
        <v>735</v>
      </c>
      <c r="G736" s="118" t="s">
        <v>44</v>
      </c>
      <c r="H736" s="118"/>
      <c r="I736" s="133" t="str">
        <f>I724</f>
        <v>2"nb</v>
      </c>
      <c r="J736" s="117"/>
      <c r="K736" s="131">
        <v>2</v>
      </c>
      <c r="L736" s="131" t="s">
        <v>50</v>
      </c>
      <c r="M736" s="132">
        <v>1</v>
      </c>
      <c r="N736" s="117" t="s">
        <v>50</v>
      </c>
      <c r="O736" s="175">
        <v>1</v>
      </c>
      <c r="P736" s="117" t="s">
        <v>112</v>
      </c>
      <c r="Q736" s="163">
        <f t="shared" si="187"/>
        <v>1</v>
      </c>
      <c r="R736" s="161">
        <v>1</v>
      </c>
      <c r="S736" s="163">
        <f t="shared" si="188"/>
        <v>2</v>
      </c>
      <c r="T736" s="167" t="s">
        <v>48</v>
      </c>
    </row>
    <row r="737" spans="2:20" ht="20.25" customHeight="1">
      <c r="C737" s="109"/>
      <c r="D737" s="115">
        <f t="shared" si="167"/>
        <v>737</v>
      </c>
      <c r="E737" s="119" t="s">
        <v>109</v>
      </c>
      <c r="F737" s="121">
        <f t="shared" si="186"/>
        <v>736</v>
      </c>
      <c r="G737" s="118" t="s">
        <v>44</v>
      </c>
      <c r="H737" s="118"/>
      <c r="I737" s="117"/>
      <c r="J737" s="117"/>
      <c r="K737" s="131">
        <v>4</v>
      </c>
      <c r="L737" s="131" t="s">
        <v>50</v>
      </c>
      <c r="M737" s="132">
        <v>1</v>
      </c>
      <c r="N737" s="117" t="s">
        <v>50</v>
      </c>
      <c r="O737" s="133">
        <v>1</v>
      </c>
      <c r="P737" s="117" t="s">
        <v>112</v>
      </c>
      <c r="Q737" s="163">
        <f t="shared" si="187"/>
        <v>1</v>
      </c>
      <c r="R737" s="161">
        <v>1</v>
      </c>
      <c r="S737" s="163">
        <f t="shared" si="188"/>
        <v>2</v>
      </c>
      <c r="T737" s="167" t="s">
        <v>48</v>
      </c>
    </row>
    <row r="738" spans="2:20" ht="20.25" customHeight="1">
      <c r="B738" s="124"/>
      <c r="C738" s="109">
        <f>D738</f>
        <v>738</v>
      </c>
      <c r="D738" s="115">
        <f t="shared" si="167"/>
        <v>738</v>
      </c>
      <c r="E738" s="126" t="s">
        <v>746</v>
      </c>
      <c r="F738" s="121">
        <f>D734</f>
        <v>734</v>
      </c>
      <c r="G738" s="118"/>
      <c r="H738" s="118"/>
      <c r="I738" s="117"/>
      <c r="J738" s="117"/>
      <c r="K738" s="131"/>
      <c r="L738" s="131"/>
      <c r="M738" s="132"/>
      <c r="N738" s="117"/>
      <c r="O738" s="133"/>
      <c r="P738" s="117"/>
      <c r="Q738" s="163"/>
      <c r="R738" s="161"/>
      <c r="S738" s="163"/>
      <c r="T738" s="162"/>
    </row>
    <row r="739" spans="2:20" ht="20.25" customHeight="1">
      <c r="C739" s="109"/>
      <c r="D739" s="115">
        <f t="shared" si="167"/>
        <v>739</v>
      </c>
      <c r="E739" s="119" t="s">
        <v>125</v>
      </c>
      <c r="F739" s="121">
        <f t="shared" ref="F739:F741" si="189">D738</f>
        <v>738</v>
      </c>
      <c r="G739" s="118" t="s">
        <v>44</v>
      </c>
      <c r="H739" s="118"/>
      <c r="I739" s="133" t="str">
        <f>I727</f>
        <v>26" nb</v>
      </c>
      <c r="J739" s="117"/>
      <c r="K739" s="131">
        <v>2</v>
      </c>
      <c r="L739" s="131" t="s">
        <v>50</v>
      </c>
      <c r="M739" s="132">
        <v>0</v>
      </c>
      <c r="N739" s="117" t="s">
        <v>50</v>
      </c>
      <c r="O739" s="175"/>
      <c r="P739" s="117" t="s">
        <v>112</v>
      </c>
      <c r="Q739" s="163">
        <f t="shared" ref="Q739:Q741" si="190">M739*O739</f>
        <v>0</v>
      </c>
      <c r="R739" s="161">
        <v>1</v>
      </c>
      <c r="S739" s="163">
        <f t="shared" ref="S739:S741" si="191">Q739+R739</f>
        <v>1</v>
      </c>
      <c r="T739" s="167" t="s">
        <v>48</v>
      </c>
    </row>
    <row r="740" spans="2:20" ht="20.25" customHeight="1">
      <c r="C740" s="109"/>
      <c r="D740" s="115">
        <f t="shared" si="167"/>
        <v>740</v>
      </c>
      <c r="E740" s="119" t="s">
        <v>104</v>
      </c>
      <c r="F740" s="121">
        <f t="shared" si="189"/>
        <v>739</v>
      </c>
      <c r="G740" s="118" t="s">
        <v>44</v>
      </c>
      <c r="H740" s="118"/>
      <c r="I740" s="133" t="str">
        <f>I728</f>
        <v>2"nb</v>
      </c>
      <c r="J740" s="117"/>
      <c r="K740" s="131">
        <v>2</v>
      </c>
      <c r="L740" s="131" t="s">
        <v>50</v>
      </c>
      <c r="M740" s="132">
        <v>0</v>
      </c>
      <c r="N740" s="117" t="s">
        <v>50</v>
      </c>
      <c r="O740" s="175"/>
      <c r="P740" s="117" t="s">
        <v>112</v>
      </c>
      <c r="Q740" s="163">
        <f t="shared" si="190"/>
        <v>0</v>
      </c>
      <c r="R740" s="161">
        <v>1</v>
      </c>
      <c r="S740" s="163">
        <f t="shared" si="191"/>
        <v>1</v>
      </c>
      <c r="T740" s="167" t="s">
        <v>48</v>
      </c>
    </row>
    <row r="741" spans="2:20" ht="20.25" customHeight="1">
      <c r="C741" s="109"/>
      <c r="D741" s="115">
        <f t="shared" si="167"/>
        <v>741</v>
      </c>
      <c r="E741" s="119" t="s">
        <v>109</v>
      </c>
      <c r="F741" s="121">
        <f t="shared" si="189"/>
        <v>740</v>
      </c>
      <c r="G741" s="118" t="s">
        <v>44</v>
      </c>
      <c r="H741" s="118"/>
      <c r="I741" s="117"/>
      <c r="J741" s="117"/>
      <c r="K741" s="131">
        <v>4</v>
      </c>
      <c r="L741" s="131" t="s">
        <v>50</v>
      </c>
      <c r="M741" s="132">
        <v>0</v>
      </c>
      <c r="N741" s="117" t="s">
        <v>50</v>
      </c>
      <c r="O741" s="133"/>
      <c r="P741" s="117" t="s">
        <v>112</v>
      </c>
      <c r="Q741" s="163">
        <f t="shared" si="190"/>
        <v>0</v>
      </c>
      <c r="R741" s="161">
        <v>1</v>
      </c>
      <c r="S741" s="163">
        <f t="shared" si="191"/>
        <v>1</v>
      </c>
      <c r="T741" s="167" t="s">
        <v>48</v>
      </c>
    </row>
    <row r="742" spans="2:20" ht="20.25" customHeight="1">
      <c r="B742" s="124"/>
      <c r="C742" s="109">
        <f>D742</f>
        <v>742</v>
      </c>
      <c r="D742" s="115">
        <f t="shared" si="167"/>
        <v>742</v>
      </c>
      <c r="E742" s="126" t="s">
        <v>747</v>
      </c>
      <c r="F742" s="121">
        <f>D738</f>
        <v>738</v>
      </c>
      <c r="G742" s="118"/>
      <c r="H742" s="118"/>
      <c r="I742" s="117"/>
      <c r="J742" s="117"/>
      <c r="K742" s="131"/>
      <c r="L742" s="131"/>
      <c r="M742" s="132"/>
      <c r="N742" s="117"/>
      <c r="O742" s="133"/>
      <c r="P742" s="117"/>
      <c r="Q742" s="163"/>
      <c r="R742" s="161"/>
      <c r="S742" s="163"/>
      <c r="T742" s="162"/>
    </row>
    <row r="743" spans="2:20" ht="20.25" customHeight="1">
      <c r="C743" s="109"/>
      <c r="D743" s="115">
        <f t="shared" si="167"/>
        <v>743</v>
      </c>
      <c r="E743" s="119" t="s">
        <v>125</v>
      </c>
      <c r="F743" s="121">
        <f t="shared" ref="F743:F745" si="192">D742</f>
        <v>742</v>
      </c>
      <c r="G743" s="118" t="s">
        <v>121</v>
      </c>
      <c r="H743" s="118"/>
      <c r="I743" s="145" t="s">
        <v>123</v>
      </c>
      <c r="J743" s="151" t="s">
        <v>117</v>
      </c>
      <c r="K743" s="131">
        <v>2</v>
      </c>
      <c r="L743" s="131" t="s">
        <v>50</v>
      </c>
      <c r="M743" s="141">
        <f>LEFT(J743,SEARCH(" ",J743,1)-1)*K743*0.001</f>
        <v>6.1080000000000005</v>
      </c>
      <c r="N743" s="117" t="s">
        <v>50</v>
      </c>
      <c r="O743" s="175">
        <v>1</v>
      </c>
      <c r="P743" s="117" t="s">
        <v>112</v>
      </c>
      <c r="Q743" s="163">
        <f t="shared" ref="Q743:Q745" si="193">M743*O743</f>
        <v>6.1080000000000005</v>
      </c>
      <c r="R743" s="161">
        <v>1</v>
      </c>
      <c r="S743" s="163">
        <f t="shared" ref="S743:S745" si="194">Q743+R743</f>
        <v>7.1080000000000005</v>
      </c>
      <c r="T743" s="167" t="s">
        <v>48</v>
      </c>
    </row>
    <row r="744" spans="2:20" ht="20.25" customHeight="1">
      <c r="C744" s="109"/>
      <c r="D744" s="115">
        <f t="shared" si="167"/>
        <v>744</v>
      </c>
      <c r="E744" s="119" t="s">
        <v>104</v>
      </c>
      <c r="F744" s="121">
        <f t="shared" si="192"/>
        <v>743</v>
      </c>
      <c r="G744" s="118" t="s">
        <v>121</v>
      </c>
      <c r="H744" s="118"/>
      <c r="I744" s="117">
        <v>18</v>
      </c>
      <c r="J744" s="125" t="s">
        <v>745</v>
      </c>
      <c r="K744" s="131">
        <v>2</v>
      </c>
      <c r="L744" s="131" t="s">
        <v>50</v>
      </c>
      <c r="M744" s="141">
        <f>LEFT(J744,SEARCH(" ",J744,1)-1)*K744*0.001</f>
        <v>0.54400000000000004</v>
      </c>
      <c r="N744" s="117" t="s">
        <v>50</v>
      </c>
      <c r="O744" s="175">
        <v>0.5</v>
      </c>
      <c r="P744" s="117" t="s">
        <v>112</v>
      </c>
      <c r="Q744" s="163">
        <f t="shared" si="193"/>
        <v>0.27200000000000002</v>
      </c>
      <c r="R744" s="161">
        <v>1</v>
      </c>
      <c r="S744" s="163">
        <f t="shared" si="194"/>
        <v>1.272</v>
      </c>
      <c r="T744" s="167" t="s">
        <v>48</v>
      </c>
    </row>
    <row r="745" spans="2:20" ht="20.25" customHeight="1">
      <c r="C745" s="109"/>
      <c r="D745" s="115">
        <f t="shared" si="167"/>
        <v>745</v>
      </c>
      <c r="E745" s="119" t="s">
        <v>109</v>
      </c>
      <c r="F745" s="121">
        <f t="shared" si="192"/>
        <v>744</v>
      </c>
      <c r="G745" s="118" t="s">
        <v>121</v>
      </c>
      <c r="H745" s="118"/>
      <c r="I745" s="117"/>
      <c r="J745" s="117"/>
      <c r="K745" s="131">
        <v>4</v>
      </c>
      <c r="L745" s="131" t="s">
        <v>50</v>
      </c>
      <c r="M745" s="132">
        <v>1</v>
      </c>
      <c r="N745" s="117" t="s">
        <v>50</v>
      </c>
      <c r="O745" s="133">
        <v>1</v>
      </c>
      <c r="P745" s="117" t="s">
        <v>112</v>
      </c>
      <c r="Q745" s="163">
        <f t="shared" si="193"/>
        <v>1</v>
      </c>
      <c r="R745" s="161">
        <v>1</v>
      </c>
      <c r="S745" s="163">
        <f t="shared" si="194"/>
        <v>2</v>
      </c>
      <c r="T745" s="167" t="s">
        <v>48</v>
      </c>
    </row>
    <row r="746" spans="2:20" ht="20.25" customHeight="1">
      <c r="B746" s="124"/>
      <c r="C746" s="109">
        <f t="shared" ref="C746:C747" si="195">D746</f>
        <v>746</v>
      </c>
      <c r="D746" s="115">
        <f t="shared" si="167"/>
        <v>746</v>
      </c>
      <c r="E746" s="116" t="s">
        <v>133</v>
      </c>
      <c r="F746" s="121">
        <f>D742</f>
        <v>742</v>
      </c>
      <c r="G746" s="118"/>
      <c r="H746" s="118"/>
      <c r="I746" s="117"/>
      <c r="J746" s="117"/>
      <c r="K746" s="131"/>
      <c r="L746" s="131"/>
      <c r="M746" s="132"/>
      <c r="N746" s="117"/>
      <c r="O746" s="133"/>
      <c r="P746" s="117"/>
      <c r="Q746" s="163"/>
      <c r="R746" s="161"/>
      <c r="S746" s="163"/>
      <c r="T746" s="162"/>
    </row>
    <row r="747" spans="2:20" ht="20.25" customHeight="1">
      <c r="C747" s="109">
        <f t="shared" si="195"/>
        <v>747</v>
      </c>
      <c r="D747" s="115">
        <f t="shared" si="167"/>
        <v>747</v>
      </c>
      <c r="E747" s="126" t="s">
        <v>134</v>
      </c>
      <c r="F747" s="121">
        <f>D746</f>
        <v>746</v>
      </c>
      <c r="G747" s="118"/>
      <c r="H747" s="118"/>
      <c r="I747" s="117"/>
      <c r="J747" s="117"/>
      <c r="K747" s="131"/>
      <c r="L747" s="131"/>
      <c r="M747" s="132"/>
      <c r="N747" s="117"/>
      <c r="O747" s="133"/>
      <c r="P747" s="117"/>
      <c r="Q747" s="163"/>
      <c r="R747" s="161"/>
      <c r="S747" s="163"/>
      <c r="T747" s="162"/>
    </row>
    <row r="748" spans="2:20" ht="20.25" customHeight="1">
      <c r="C748" s="109"/>
      <c r="D748" s="115">
        <f t="shared" si="167"/>
        <v>748</v>
      </c>
      <c r="E748" s="119" t="s">
        <v>135</v>
      </c>
      <c r="F748" s="121">
        <f t="shared" ref="F748:F751" si="196">D747</f>
        <v>747</v>
      </c>
      <c r="G748" s="118"/>
      <c r="H748" s="118"/>
      <c r="I748" s="117"/>
      <c r="J748" s="117"/>
      <c r="K748" s="131">
        <v>1</v>
      </c>
      <c r="L748" s="154" t="s">
        <v>84</v>
      </c>
      <c r="M748" s="132">
        <v>1</v>
      </c>
      <c r="N748" s="145" t="s">
        <v>84</v>
      </c>
      <c r="O748" s="133">
        <v>4</v>
      </c>
      <c r="P748" s="145" t="s">
        <v>41</v>
      </c>
      <c r="Q748" s="163">
        <f t="shared" ref="Q748:Q751" si="197">M748*O748</f>
        <v>4</v>
      </c>
      <c r="R748" s="161">
        <v>0</v>
      </c>
      <c r="S748" s="163">
        <f t="shared" ref="S748:S751" si="198">Q748+R748</f>
        <v>4</v>
      </c>
      <c r="T748" s="165" t="s">
        <v>41</v>
      </c>
    </row>
    <row r="749" spans="2:20" ht="20.25" customHeight="1">
      <c r="C749" s="109"/>
      <c r="D749" s="115">
        <f t="shared" si="167"/>
        <v>749</v>
      </c>
      <c r="E749" s="119" t="s">
        <v>136</v>
      </c>
      <c r="F749" s="121">
        <f t="shared" si="196"/>
        <v>748</v>
      </c>
      <c r="G749" s="118" t="s">
        <v>44</v>
      </c>
      <c r="H749" s="118"/>
      <c r="I749" s="145" t="s">
        <v>137</v>
      </c>
      <c r="J749" s="145" t="s">
        <v>138</v>
      </c>
      <c r="K749" s="131">
        <v>1</v>
      </c>
      <c r="L749" s="154" t="s">
        <v>84</v>
      </c>
      <c r="M749" s="141">
        <f>LEFT(J749,SEARCH(" ",J749,1)-1)*K749</f>
        <v>9</v>
      </c>
      <c r="N749" s="117" t="s">
        <v>139</v>
      </c>
      <c r="O749" s="175">
        <v>0.25</v>
      </c>
      <c r="P749" s="117" t="s">
        <v>112</v>
      </c>
      <c r="Q749" s="163">
        <f t="shared" si="197"/>
        <v>2.25</v>
      </c>
      <c r="R749" s="161">
        <v>1</v>
      </c>
      <c r="S749" s="163">
        <f t="shared" si="198"/>
        <v>3.25</v>
      </c>
      <c r="T749" s="165" t="s">
        <v>162</v>
      </c>
    </row>
    <row r="750" spans="2:20" ht="20.25" customHeight="1">
      <c r="C750" s="109"/>
      <c r="D750" s="115">
        <f t="shared" si="167"/>
        <v>750</v>
      </c>
      <c r="E750" s="119" t="s">
        <v>140</v>
      </c>
      <c r="F750" s="121">
        <f t="shared" si="196"/>
        <v>749</v>
      </c>
      <c r="G750" s="118" t="s">
        <v>44</v>
      </c>
      <c r="H750" s="118"/>
      <c r="I750" s="117" t="str">
        <f>I749</f>
        <v>30/25</v>
      </c>
      <c r="J750" s="145" t="s">
        <v>141</v>
      </c>
      <c r="K750" s="177">
        <v>1</v>
      </c>
      <c r="L750" s="154" t="s">
        <v>84</v>
      </c>
      <c r="M750" s="141">
        <f t="shared" ref="M750:M751" si="199">LEFT(J750,SEARCH(" ",J750,1)-1)*K750</f>
        <v>29</v>
      </c>
      <c r="N750" s="117" t="s">
        <v>139</v>
      </c>
      <c r="O750" s="175">
        <v>0.25</v>
      </c>
      <c r="P750" s="117" t="s">
        <v>112</v>
      </c>
      <c r="Q750" s="163">
        <f t="shared" si="197"/>
        <v>7.25</v>
      </c>
      <c r="R750" s="161">
        <v>1</v>
      </c>
      <c r="S750" s="163">
        <f t="shared" si="198"/>
        <v>8.25</v>
      </c>
      <c r="T750" s="165" t="s">
        <v>162</v>
      </c>
    </row>
    <row r="751" spans="2:20" ht="20.25" customHeight="1">
      <c r="C751" s="109"/>
      <c r="D751" s="115">
        <f t="shared" si="167"/>
        <v>751</v>
      </c>
      <c r="E751" s="119" t="s">
        <v>142</v>
      </c>
      <c r="F751" s="121">
        <f t="shared" si="196"/>
        <v>750</v>
      </c>
      <c r="G751" s="118" t="s">
        <v>44</v>
      </c>
      <c r="H751" s="118"/>
      <c r="I751" s="117">
        <v>25</v>
      </c>
      <c r="J751" s="145" t="s">
        <v>143</v>
      </c>
      <c r="K751" s="131">
        <v>1</v>
      </c>
      <c r="L751" s="154" t="s">
        <v>84</v>
      </c>
      <c r="M751" s="141">
        <f t="shared" si="199"/>
        <v>10.5</v>
      </c>
      <c r="N751" s="117" t="s">
        <v>139</v>
      </c>
      <c r="O751" s="175">
        <v>0.25</v>
      </c>
      <c r="P751" s="117" t="s">
        <v>112</v>
      </c>
      <c r="Q751" s="163">
        <f t="shared" si="197"/>
        <v>2.625</v>
      </c>
      <c r="R751" s="161">
        <v>1</v>
      </c>
      <c r="S751" s="163">
        <f t="shared" si="198"/>
        <v>3.625</v>
      </c>
      <c r="T751" s="165" t="s">
        <v>162</v>
      </c>
    </row>
    <row r="752" spans="2:20" ht="20.25" customHeight="1">
      <c r="B752" s="124"/>
      <c r="C752" s="109">
        <f>D752</f>
        <v>752</v>
      </c>
      <c r="D752" s="115">
        <f t="shared" si="167"/>
        <v>752</v>
      </c>
      <c r="E752" s="126" t="s">
        <v>144</v>
      </c>
      <c r="F752" s="121">
        <f>D747</f>
        <v>747</v>
      </c>
      <c r="G752" s="118"/>
      <c r="H752" s="118"/>
      <c r="I752" s="117"/>
      <c r="J752" s="117"/>
      <c r="K752" s="131"/>
      <c r="L752" s="131"/>
      <c r="M752" s="132"/>
      <c r="N752" s="117"/>
      <c r="O752" s="133"/>
      <c r="P752" s="117"/>
      <c r="Q752" s="163"/>
      <c r="R752" s="161"/>
      <c r="S752" s="163"/>
      <c r="T752" s="162"/>
    </row>
    <row r="753" spans="2:20" ht="20.25" customHeight="1">
      <c r="C753" s="109"/>
      <c r="D753" s="115">
        <f t="shared" si="167"/>
        <v>753</v>
      </c>
      <c r="E753" s="119" t="s">
        <v>145</v>
      </c>
      <c r="F753" s="121">
        <f t="shared" ref="F753:F756" si="200">D752</f>
        <v>752</v>
      </c>
      <c r="G753" s="118" t="s">
        <v>52</v>
      </c>
      <c r="H753" s="118"/>
      <c r="I753" s="121" t="str">
        <f t="shared" ref="I753:J753" si="201">I749</f>
        <v>30/25</v>
      </c>
      <c r="J753" s="121" t="str">
        <f t="shared" si="201"/>
        <v>9 rmt</v>
      </c>
      <c r="K753" s="177">
        <f t="shared" ref="K753" si="202">K749</f>
        <v>1</v>
      </c>
      <c r="L753" s="131" t="s">
        <v>81</v>
      </c>
      <c r="M753" s="141">
        <f t="shared" ref="M753:M755" si="203">LEFT(J753,SEARCH(" ",J753,1)-1)*K753</f>
        <v>9</v>
      </c>
      <c r="N753" s="117" t="s">
        <v>139</v>
      </c>
      <c r="O753" s="175">
        <v>0.5</v>
      </c>
      <c r="P753" s="117" t="s">
        <v>112</v>
      </c>
      <c r="Q753" s="163">
        <f t="shared" ref="Q753:Q756" si="204">M753*O753</f>
        <v>4.5</v>
      </c>
      <c r="R753" s="161">
        <v>1</v>
      </c>
      <c r="S753" s="163">
        <f t="shared" ref="S753:S756" si="205">Q753+R753</f>
        <v>5.5</v>
      </c>
      <c r="T753" s="162" t="s">
        <v>48</v>
      </c>
    </row>
    <row r="754" spans="2:20" ht="20.25" customHeight="1">
      <c r="C754" s="109"/>
      <c r="D754" s="115">
        <f t="shared" si="167"/>
        <v>754</v>
      </c>
      <c r="E754" s="119" t="s">
        <v>146</v>
      </c>
      <c r="F754" s="121">
        <f t="shared" si="200"/>
        <v>753</v>
      </c>
      <c r="G754" s="118" t="s">
        <v>52</v>
      </c>
      <c r="H754" s="118"/>
      <c r="I754" s="121" t="str">
        <f t="shared" ref="I754:J754" si="206">I750</f>
        <v>30/25</v>
      </c>
      <c r="J754" s="121" t="str">
        <f t="shared" si="206"/>
        <v>29 rmt</v>
      </c>
      <c r="K754" s="177">
        <f t="shared" ref="K754" si="207">K750</f>
        <v>1</v>
      </c>
      <c r="L754" s="131" t="s">
        <v>81</v>
      </c>
      <c r="M754" s="141">
        <f t="shared" si="203"/>
        <v>29</v>
      </c>
      <c r="N754" s="117" t="s">
        <v>139</v>
      </c>
      <c r="O754" s="175">
        <v>0.5</v>
      </c>
      <c r="P754" s="117" t="s">
        <v>112</v>
      </c>
      <c r="Q754" s="163">
        <f t="shared" si="204"/>
        <v>14.5</v>
      </c>
      <c r="R754" s="161">
        <v>1</v>
      </c>
      <c r="S754" s="163">
        <f t="shared" si="205"/>
        <v>15.5</v>
      </c>
      <c r="T754" s="162" t="s">
        <v>48</v>
      </c>
    </row>
    <row r="755" spans="2:20" ht="20.25" customHeight="1">
      <c r="C755" s="109"/>
      <c r="D755" s="115">
        <f t="shared" si="167"/>
        <v>755</v>
      </c>
      <c r="E755" s="119" t="s">
        <v>147</v>
      </c>
      <c r="F755" s="121">
        <f t="shared" si="200"/>
        <v>754</v>
      </c>
      <c r="G755" s="118" t="s">
        <v>52</v>
      </c>
      <c r="H755" s="118"/>
      <c r="I755" s="121">
        <f t="shared" ref="I755:J755" si="208">I751</f>
        <v>25</v>
      </c>
      <c r="J755" s="121" t="str">
        <f t="shared" si="208"/>
        <v>10.5 Rmt</v>
      </c>
      <c r="K755" s="177">
        <f t="shared" ref="K755" si="209">K751</f>
        <v>1</v>
      </c>
      <c r="L755" s="131" t="s">
        <v>81</v>
      </c>
      <c r="M755" s="141">
        <f t="shared" si="203"/>
        <v>10.5</v>
      </c>
      <c r="N755" s="117" t="s">
        <v>139</v>
      </c>
      <c r="O755" s="175">
        <f>VLOOKUP(I755,BM!$A$2:$X$104,3,FALSE)</f>
        <v>0.25</v>
      </c>
      <c r="P755" s="117" t="s">
        <v>112</v>
      </c>
      <c r="Q755" s="163">
        <f t="shared" si="204"/>
        <v>2.625</v>
      </c>
      <c r="R755" s="161">
        <v>1</v>
      </c>
      <c r="S755" s="163">
        <f t="shared" si="205"/>
        <v>3.625</v>
      </c>
      <c r="T755" s="162" t="s">
        <v>48</v>
      </c>
    </row>
    <row r="756" spans="2:20" ht="20.25" customHeight="1">
      <c r="C756" s="109"/>
      <c r="D756" s="115">
        <f t="shared" si="167"/>
        <v>756</v>
      </c>
      <c r="E756" s="119" t="s">
        <v>148</v>
      </c>
      <c r="F756" s="121">
        <f t="shared" si="200"/>
        <v>755</v>
      </c>
      <c r="G756" s="118" t="s">
        <v>149</v>
      </c>
      <c r="H756" s="118"/>
      <c r="I756" s="117">
        <v>25</v>
      </c>
      <c r="J756" s="117"/>
      <c r="K756" s="131"/>
      <c r="L756" s="131"/>
      <c r="M756" s="155">
        <f>M753+M754+M755</f>
        <v>48.5</v>
      </c>
      <c r="N756" s="117" t="s">
        <v>139</v>
      </c>
      <c r="O756" s="175">
        <f>VLOOKUP(I756,BM!$A$2:$X$104,4,FALSE)</f>
        <v>0.15</v>
      </c>
      <c r="P756" s="117" t="s">
        <v>112</v>
      </c>
      <c r="Q756" s="163">
        <f t="shared" si="204"/>
        <v>7.2749999999999995</v>
      </c>
      <c r="R756" s="161">
        <v>1</v>
      </c>
      <c r="S756" s="163">
        <f t="shared" si="205"/>
        <v>8.2749999999999986</v>
      </c>
      <c r="T756" s="162" t="s">
        <v>48</v>
      </c>
    </row>
    <row r="757" spans="2:20" ht="20.25" customHeight="1">
      <c r="B757" s="124"/>
      <c r="C757" s="109">
        <f>D757</f>
        <v>757</v>
      </c>
      <c r="D757" s="115">
        <f t="shared" si="167"/>
        <v>757</v>
      </c>
      <c r="E757" s="116" t="s">
        <v>150</v>
      </c>
      <c r="F757" s="121">
        <f>D752</f>
        <v>752</v>
      </c>
      <c r="G757" s="118"/>
      <c r="H757" s="118"/>
      <c r="I757" s="117"/>
      <c r="J757" s="117"/>
      <c r="K757" s="131"/>
      <c r="L757" s="131"/>
      <c r="M757" s="132"/>
      <c r="N757" s="117"/>
      <c r="O757" s="133"/>
      <c r="P757" s="117"/>
      <c r="Q757" s="163"/>
      <c r="R757" s="161"/>
      <c r="S757" s="163"/>
      <c r="T757" s="162"/>
    </row>
    <row r="758" spans="2:20" ht="20.25" customHeight="1">
      <c r="C758" s="109"/>
      <c r="D758" s="115">
        <f t="shared" si="167"/>
        <v>758</v>
      </c>
      <c r="E758" s="119" t="s">
        <v>151</v>
      </c>
      <c r="F758" s="121">
        <f t="shared" ref="F758:F761" si="210">D757</f>
        <v>757</v>
      </c>
      <c r="G758" s="118" t="s">
        <v>748</v>
      </c>
      <c r="H758" s="118"/>
      <c r="I758" s="117"/>
      <c r="J758" s="117"/>
      <c r="K758" s="131">
        <v>1</v>
      </c>
      <c r="L758" s="131" t="s">
        <v>84</v>
      </c>
      <c r="M758" s="132">
        <v>1</v>
      </c>
      <c r="N758" s="117" t="s">
        <v>39</v>
      </c>
      <c r="O758" s="133">
        <v>8</v>
      </c>
      <c r="P758" s="117" t="s">
        <v>112</v>
      </c>
      <c r="Q758" s="163">
        <f t="shared" ref="Q758:Q761" si="211">M758*O758</f>
        <v>8</v>
      </c>
      <c r="R758" s="161">
        <v>1</v>
      </c>
      <c r="S758" s="163">
        <f t="shared" ref="S758:S761" si="212">Q758+R758</f>
        <v>9</v>
      </c>
      <c r="T758" s="162" t="s">
        <v>48</v>
      </c>
    </row>
    <row r="759" spans="2:20" ht="20.25" customHeight="1">
      <c r="C759" s="109"/>
      <c r="D759" s="115">
        <f t="shared" si="167"/>
        <v>759</v>
      </c>
      <c r="E759" s="119" t="s">
        <v>153</v>
      </c>
      <c r="F759" s="121">
        <f t="shared" si="210"/>
        <v>758</v>
      </c>
      <c r="G759" s="118" t="s">
        <v>115</v>
      </c>
      <c r="H759" s="118"/>
      <c r="I759" s="117">
        <v>18</v>
      </c>
      <c r="J759" s="117"/>
      <c r="K759" s="131">
        <v>1</v>
      </c>
      <c r="L759" s="131" t="s">
        <v>84</v>
      </c>
      <c r="M759" s="155">
        <v>4</v>
      </c>
      <c r="N759" s="117" t="s">
        <v>39</v>
      </c>
      <c r="O759" s="143">
        <f>VLOOKUP(I759,BM!$A$2:$X$104,22,FALSE)</f>
        <v>3.4</v>
      </c>
      <c r="P759" s="117" t="s">
        <v>112</v>
      </c>
      <c r="Q759" s="163">
        <f t="shared" si="211"/>
        <v>13.6</v>
      </c>
      <c r="R759" s="161">
        <v>1</v>
      </c>
      <c r="S759" s="163">
        <f t="shared" si="212"/>
        <v>14.6</v>
      </c>
      <c r="T759" s="162" t="s">
        <v>48</v>
      </c>
    </row>
    <row r="760" spans="2:20" ht="20.25" customHeight="1">
      <c r="C760" s="109"/>
      <c r="D760" s="115">
        <f t="shared" si="167"/>
        <v>760</v>
      </c>
      <c r="E760" s="119" t="s">
        <v>154</v>
      </c>
      <c r="F760" s="121">
        <f t="shared" si="210"/>
        <v>759</v>
      </c>
      <c r="G760" s="118" t="s">
        <v>748</v>
      </c>
      <c r="H760" s="118"/>
      <c r="I760" s="117"/>
      <c r="J760" s="117"/>
      <c r="K760" s="131">
        <v>1</v>
      </c>
      <c r="L760" s="131" t="s">
        <v>84</v>
      </c>
      <c r="M760" s="132">
        <v>1</v>
      </c>
      <c r="N760" s="117" t="s">
        <v>39</v>
      </c>
      <c r="O760" s="133">
        <v>8</v>
      </c>
      <c r="P760" s="117" t="s">
        <v>112</v>
      </c>
      <c r="Q760" s="163">
        <f t="shared" si="211"/>
        <v>8</v>
      </c>
      <c r="R760" s="161">
        <v>1</v>
      </c>
      <c r="S760" s="163">
        <f t="shared" si="212"/>
        <v>9</v>
      </c>
      <c r="T760" s="162" t="s">
        <v>48</v>
      </c>
    </row>
    <row r="761" spans="2:20" ht="20.25" customHeight="1">
      <c r="C761" s="109"/>
      <c r="D761" s="115">
        <f t="shared" si="167"/>
        <v>761</v>
      </c>
      <c r="E761" s="119" t="s">
        <v>155</v>
      </c>
      <c r="F761" s="121">
        <f t="shared" si="210"/>
        <v>760</v>
      </c>
      <c r="G761" s="118" t="s">
        <v>156</v>
      </c>
      <c r="H761" s="118"/>
      <c r="I761" s="117">
        <v>18</v>
      </c>
      <c r="J761" s="117"/>
      <c r="K761" s="131">
        <v>1</v>
      </c>
      <c r="L761" s="131" t="s">
        <v>84</v>
      </c>
      <c r="M761" s="155">
        <v>24.8</v>
      </c>
      <c r="N761" s="117" t="s">
        <v>39</v>
      </c>
      <c r="O761" s="143">
        <f>VLOOKUP(I761,BM!$A$2:$X$104,22,FALSE)</f>
        <v>3.4</v>
      </c>
      <c r="P761" s="117" t="s">
        <v>112</v>
      </c>
      <c r="Q761" s="163">
        <f t="shared" si="211"/>
        <v>84.32</v>
      </c>
      <c r="R761" s="161">
        <v>1</v>
      </c>
      <c r="S761" s="163">
        <f t="shared" si="212"/>
        <v>85.32</v>
      </c>
      <c r="T761" s="162" t="s">
        <v>48</v>
      </c>
    </row>
    <row r="762" spans="2:20" ht="20.25" customHeight="1">
      <c r="B762" s="124"/>
      <c r="C762" s="109">
        <f>D762</f>
        <v>762</v>
      </c>
      <c r="D762" s="115">
        <f t="shared" si="167"/>
        <v>762</v>
      </c>
      <c r="E762" s="116" t="s">
        <v>157</v>
      </c>
      <c r="F762" s="121">
        <f>D757</f>
        <v>757</v>
      </c>
      <c r="G762" s="118"/>
      <c r="H762" s="118"/>
      <c r="I762" s="117"/>
      <c r="J762" s="117"/>
      <c r="K762" s="131"/>
      <c r="L762" s="131"/>
      <c r="M762" s="132"/>
      <c r="N762" s="117"/>
      <c r="O762" s="133"/>
      <c r="P762" s="117"/>
      <c r="Q762" s="163"/>
      <c r="R762" s="161"/>
      <c r="S762" s="163"/>
      <c r="T762" s="162"/>
    </row>
    <row r="763" spans="2:20" ht="20.25" customHeight="1">
      <c r="C763" s="109"/>
      <c r="D763" s="115">
        <f t="shared" si="167"/>
        <v>763</v>
      </c>
      <c r="E763" s="119" t="s">
        <v>158</v>
      </c>
      <c r="F763" s="121">
        <f t="shared" ref="F763:F776" si="213">D762</f>
        <v>762</v>
      </c>
      <c r="G763" s="118" t="s">
        <v>159</v>
      </c>
      <c r="H763" s="118"/>
      <c r="I763" s="117"/>
      <c r="J763" s="117"/>
      <c r="K763" s="131">
        <v>1</v>
      </c>
      <c r="L763" s="131" t="s">
        <v>160</v>
      </c>
      <c r="M763" s="132">
        <v>1</v>
      </c>
      <c r="N763" s="117" t="s">
        <v>160</v>
      </c>
      <c r="O763" s="133">
        <v>4</v>
      </c>
      <c r="P763" s="117" t="s">
        <v>41</v>
      </c>
      <c r="Q763" s="163">
        <f t="shared" ref="Q763:Q776" si="214">M763*O763</f>
        <v>4</v>
      </c>
      <c r="R763" s="161"/>
      <c r="S763" s="163">
        <f t="shared" ref="S763:S776" si="215">Q763+R763</f>
        <v>4</v>
      </c>
      <c r="T763" s="162" t="s">
        <v>42</v>
      </c>
    </row>
    <row r="764" spans="2:20" ht="20.25" customHeight="1">
      <c r="C764" s="109"/>
      <c r="D764" s="115">
        <f t="shared" si="167"/>
        <v>764</v>
      </c>
      <c r="E764" s="119" t="s">
        <v>161</v>
      </c>
      <c r="F764" s="121">
        <f t="shared" si="213"/>
        <v>763</v>
      </c>
      <c r="G764" s="118" t="s">
        <v>44</v>
      </c>
      <c r="H764" s="118"/>
      <c r="I764" s="117"/>
      <c r="J764" s="117"/>
      <c r="K764" s="131">
        <v>6</v>
      </c>
      <c r="L764" s="131" t="s">
        <v>81</v>
      </c>
      <c r="M764" s="132">
        <v>6</v>
      </c>
      <c r="N764" s="117" t="s">
        <v>81</v>
      </c>
      <c r="O764" s="133">
        <v>0.5</v>
      </c>
      <c r="P764" s="117" t="s">
        <v>162</v>
      </c>
      <c r="Q764" s="163">
        <f t="shared" si="214"/>
        <v>3</v>
      </c>
      <c r="R764" s="161"/>
      <c r="S764" s="163">
        <f t="shared" si="215"/>
        <v>3</v>
      </c>
      <c r="T764" s="162" t="s">
        <v>48</v>
      </c>
    </row>
    <row r="765" spans="2:20" ht="20.25" customHeight="1">
      <c r="C765" s="109"/>
      <c r="D765" s="115">
        <f t="shared" si="167"/>
        <v>765</v>
      </c>
      <c r="E765" s="119" t="s">
        <v>163</v>
      </c>
      <c r="F765" s="121">
        <f t="shared" si="213"/>
        <v>764</v>
      </c>
      <c r="G765" s="118" t="s">
        <v>44</v>
      </c>
      <c r="H765" s="118"/>
      <c r="I765" s="117">
        <v>16</v>
      </c>
      <c r="J765" s="117"/>
      <c r="K765" s="131">
        <v>4</v>
      </c>
      <c r="L765" s="131" t="s">
        <v>81</v>
      </c>
      <c r="M765" s="155">
        <f>K765</f>
        <v>4</v>
      </c>
      <c r="N765" s="117" t="s">
        <v>81</v>
      </c>
      <c r="O765" s="133">
        <v>0.5</v>
      </c>
      <c r="P765" s="117" t="s">
        <v>162</v>
      </c>
      <c r="Q765" s="163">
        <f t="shared" si="214"/>
        <v>2</v>
      </c>
      <c r="R765" s="161"/>
      <c r="S765" s="163">
        <f t="shared" si="215"/>
        <v>2</v>
      </c>
      <c r="T765" s="162" t="s">
        <v>48</v>
      </c>
    </row>
    <row r="766" spans="2:20" ht="20.25" customHeight="1">
      <c r="C766" s="109"/>
      <c r="D766" s="115">
        <f t="shared" si="167"/>
        <v>766</v>
      </c>
      <c r="E766" s="119" t="s">
        <v>164</v>
      </c>
      <c r="F766" s="121">
        <f t="shared" si="213"/>
        <v>765</v>
      </c>
      <c r="G766" s="118" t="s">
        <v>44</v>
      </c>
      <c r="H766" s="118"/>
      <c r="I766" s="117">
        <v>16</v>
      </c>
      <c r="J766" s="117"/>
      <c r="K766" s="131">
        <v>4</v>
      </c>
      <c r="L766" s="131" t="s">
        <v>81</v>
      </c>
      <c r="M766" s="155">
        <f>K766</f>
        <v>4</v>
      </c>
      <c r="N766" s="117" t="s">
        <v>81</v>
      </c>
      <c r="O766" s="133">
        <v>0.5</v>
      </c>
      <c r="P766" s="117" t="s">
        <v>162</v>
      </c>
      <c r="Q766" s="163">
        <f t="shared" si="214"/>
        <v>2</v>
      </c>
      <c r="R766" s="161"/>
      <c r="S766" s="163">
        <f t="shared" si="215"/>
        <v>2</v>
      </c>
      <c r="T766" s="162" t="s">
        <v>48</v>
      </c>
    </row>
    <row r="767" spans="2:20" ht="20.25" customHeight="1">
      <c r="C767" s="109"/>
      <c r="D767" s="115">
        <f t="shared" si="167"/>
        <v>767</v>
      </c>
      <c r="E767" s="119" t="s">
        <v>165</v>
      </c>
      <c r="F767" s="121">
        <f t="shared" si="213"/>
        <v>766</v>
      </c>
      <c r="G767" s="118" t="s">
        <v>44</v>
      </c>
      <c r="H767" s="118"/>
      <c r="I767" s="117">
        <v>30</v>
      </c>
      <c r="J767" s="117"/>
      <c r="K767" s="131">
        <v>2</v>
      </c>
      <c r="L767" s="131" t="s">
        <v>81</v>
      </c>
      <c r="M767" s="155">
        <f>K767</f>
        <v>2</v>
      </c>
      <c r="N767" s="117" t="s">
        <v>81</v>
      </c>
      <c r="O767" s="133">
        <v>0.5</v>
      </c>
      <c r="P767" s="117" t="s">
        <v>162</v>
      </c>
      <c r="Q767" s="163">
        <f t="shared" si="214"/>
        <v>1</v>
      </c>
      <c r="R767" s="161"/>
      <c r="S767" s="163">
        <f t="shared" si="215"/>
        <v>1</v>
      </c>
      <c r="T767" s="162" t="s">
        <v>48</v>
      </c>
    </row>
    <row r="768" spans="2:20" ht="20.25" customHeight="1">
      <c r="C768" s="109"/>
      <c r="D768" s="115">
        <f t="shared" si="167"/>
        <v>768</v>
      </c>
      <c r="E768" s="119" t="s">
        <v>166</v>
      </c>
      <c r="F768" s="121">
        <f t="shared" si="213"/>
        <v>767</v>
      </c>
      <c r="G768" s="118" t="s">
        <v>52</v>
      </c>
      <c r="H768" s="118"/>
      <c r="I768" s="117"/>
      <c r="J768" s="117"/>
      <c r="K768" s="131">
        <v>6</v>
      </c>
      <c r="L768" s="131" t="s">
        <v>81</v>
      </c>
      <c r="M768" s="155">
        <f>K768</f>
        <v>6</v>
      </c>
      <c r="N768" s="117" t="s">
        <v>81</v>
      </c>
      <c r="O768" s="133">
        <v>0.5</v>
      </c>
      <c r="P768" s="117" t="s">
        <v>162</v>
      </c>
      <c r="Q768" s="163">
        <f t="shared" si="214"/>
        <v>3</v>
      </c>
      <c r="R768" s="161"/>
      <c r="S768" s="163">
        <f t="shared" si="215"/>
        <v>3</v>
      </c>
      <c r="T768" s="162" t="s">
        <v>48</v>
      </c>
    </row>
    <row r="769" spans="2:20" ht="20.25" customHeight="1">
      <c r="C769" s="109"/>
      <c r="D769" s="115">
        <f t="shared" si="167"/>
        <v>769</v>
      </c>
      <c r="E769" s="119" t="s">
        <v>167</v>
      </c>
      <c r="F769" s="121">
        <f t="shared" si="213"/>
        <v>768</v>
      </c>
      <c r="G769" s="118" t="s">
        <v>52</v>
      </c>
      <c r="H769" s="118"/>
      <c r="I769" s="117"/>
      <c r="J769" s="117"/>
      <c r="K769" s="131">
        <v>4</v>
      </c>
      <c r="L769" s="131" t="s">
        <v>81</v>
      </c>
      <c r="M769" s="155">
        <f t="shared" ref="M769:M776" si="216">K769</f>
        <v>4</v>
      </c>
      <c r="N769" s="117" t="s">
        <v>81</v>
      </c>
      <c r="O769" s="133">
        <v>0.5</v>
      </c>
      <c r="P769" s="117" t="s">
        <v>162</v>
      </c>
      <c r="Q769" s="163">
        <f t="shared" si="214"/>
        <v>2</v>
      </c>
      <c r="R769" s="161"/>
      <c r="S769" s="163">
        <f t="shared" si="215"/>
        <v>2</v>
      </c>
      <c r="T769" s="162" t="s">
        <v>48</v>
      </c>
    </row>
    <row r="770" spans="2:20" ht="20.25" customHeight="1">
      <c r="C770" s="109"/>
      <c r="D770" s="115">
        <f t="shared" si="167"/>
        <v>770</v>
      </c>
      <c r="E770" s="119" t="s">
        <v>168</v>
      </c>
      <c r="F770" s="121">
        <f t="shared" si="213"/>
        <v>769</v>
      </c>
      <c r="G770" s="118" t="s">
        <v>44</v>
      </c>
      <c r="H770" s="118"/>
      <c r="I770" s="117"/>
      <c r="J770" s="117"/>
      <c r="K770" s="131">
        <v>6</v>
      </c>
      <c r="L770" s="131" t="s">
        <v>81</v>
      </c>
      <c r="M770" s="155">
        <f t="shared" si="216"/>
        <v>6</v>
      </c>
      <c r="N770" s="117" t="s">
        <v>81</v>
      </c>
      <c r="O770" s="133">
        <v>0.5</v>
      </c>
      <c r="P770" s="117" t="s">
        <v>162</v>
      </c>
      <c r="Q770" s="163">
        <f t="shared" si="214"/>
        <v>3</v>
      </c>
      <c r="R770" s="161"/>
      <c r="S770" s="163">
        <f t="shared" si="215"/>
        <v>3</v>
      </c>
      <c r="T770" s="162" t="s">
        <v>48</v>
      </c>
    </row>
    <row r="771" spans="2:20" ht="20.25" customHeight="1">
      <c r="C771" s="109"/>
      <c r="D771" s="115">
        <f t="shared" si="167"/>
        <v>771</v>
      </c>
      <c r="E771" s="119" t="s">
        <v>169</v>
      </c>
      <c r="F771" s="121">
        <f t="shared" si="213"/>
        <v>770</v>
      </c>
      <c r="G771" s="118" t="s">
        <v>61</v>
      </c>
      <c r="H771" s="118"/>
      <c r="I771" s="117"/>
      <c r="J771" s="117"/>
      <c r="K771" s="131">
        <v>10</v>
      </c>
      <c r="L771" s="131" t="s">
        <v>81</v>
      </c>
      <c r="M771" s="155">
        <f t="shared" si="216"/>
        <v>10</v>
      </c>
      <c r="N771" s="117" t="s">
        <v>81</v>
      </c>
      <c r="O771" s="133">
        <v>0.5</v>
      </c>
      <c r="P771" s="117" t="s">
        <v>162</v>
      </c>
      <c r="Q771" s="163">
        <f t="shared" si="214"/>
        <v>5</v>
      </c>
      <c r="R771" s="161"/>
      <c r="S771" s="163">
        <f t="shared" si="215"/>
        <v>5</v>
      </c>
      <c r="T771" s="162" t="s">
        <v>48</v>
      </c>
    </row>
    <row r="772" spans="2:20" ht="20.25" customHeight="1">
      <c r="C772" s="109"/>
      <c r="D772" s="115">
        <f t="shared" ref="D772:D835" si="217">D771+1</f>
        <v>772</v>
      </c>
      <c r="E772" s="119" t="s">
        <v>170</v>
      </c>
      <c r="F772" s="121">
        <f t="shared" si="213"/>
        <v>771</v>
      </c>
      <c r="G772" s="118" t="s">
        <v>61</v>
      </c>
      <c r="H772" s="118"/>
      <c r="I772" s="117"/>
      <c r="J772" s="117"/>
      <c r="K772" s="131">
        <v>2</v>
      </c>
      <c r="L772" s="131" t="s">
        <v>81</v>
      </c>
      <c r="M772" s="155">
        <f t="shared" si="216"/>
        <v>2</v>
      </c>
      <c r="N772" s="117" t="s">
        <v>81</v>
      </c>
      <c r="O772" s="133">
        <v>0.5</v>
      </c>
      <c r="P772" s="117" t="s">
        <v>162</v>
      </c>
      <c r="Q772" s="163">
        <f t="shared" si="214"/>
        <v>1</v>
      </c>
      <c r="R772" s="161"/>
      <c r="S772" s="163">
        <f t="shared" si="215"/>
        <v>1</v>
      </c>
      <c r="T772" s="162" t="s">
        <v>48</v>
      </c>
    </row>
    <row r="773" spans="2:20" ht="20.25" customHeight="1">
      <c r="C773" s="109"/>
      <c r="D773" s="115">
        <f t="shared" si="217"/>
        <v>773</v>
      </c>
      <c r="E773" s="119" t="s">
        <v>171</v>
      </c>
      <c r="F773" s="121">
        <f t="shared" si="213"/>
        <v>772</v>
      </c>
      <c r="G773" s="118" t="s">
        <v>172</v>
      </c>
      <c r="H773" s="118"/>
      <c r="I773" s="117"/>
      <c r="J773" s="117"/>
      <c r="K773" s="131">
        <v>2</v>
      </c>
      <c r="L773" s="131" t="s">
        <v>81</v>
      </c>
      <c r="M773" s="155">
        <f t="shared" si="216"/>
        <v>2</v>
      </c>
      <c r="N773" s="117" t="s">
        <v>81</v>
      </c>
      <c r="O773" s="133">
        <v>0.5</v>
      </c>
      <c r="P773" s="117" t="s">
        <v>162</v>
      </c>
      <c r="Q773" s="163">
        <f t="shared" si="214"/>
        <v>1</v>
      </c>
      <c r="R773" s="161"/>
      <c r="S773" s="163">
        <f t="shared" si="215"/>
        <v>1</v>
      </c>
      <c r="T773" s="162" t="s">
        <v>48</v>
      </c>
    </row>
    <row r="774" spans="2:20" ht="20.25" customHeight="1">
      <c r="C774" s="109"/>
      <c r="D774" s="115">
        <f t="shared" si="217"/>
        <v>774</v>
      </c>
      <c r="E774" s="119" t="s">
        <v>173</v>
      </c>
      <c r="F774" s="121">
        <f t="shared" si="213"/>
        <v>773</v>
      </c>
      <c r="G774" s="118" t="s">
        <v>115</v>
      </c>
      <c r="H774" s="118"/>
      <c r="I774" s="117"/>
      <c r="J774" s="117"/>
      <c r="K774" s="131">
        <v>2</v>
      </c>
      <c r="L774" s="131" t="s">
        <v>81</v>
      </c>
      <c r="M774" s="155">
        <f t="shared" si="216"/>
        <v>2</v>
      </c>
      <c r="N774" s="117" t="s">
        <v>81</v>
      </c>
      <c r="O774" s="133">
        <v>0.5</v>
      </c>
      <c r="P774" s="117" t="s">
        <v>162</v>
      </c>
      <c r="Q774" s="163">
        <f t="shared" si="214"/>
        <v>1</v>
      </c>
      <c r="R774" s="161"/>
      <c r="S774" s="163">
        <f t="shared" si="215"/>
        <v>1</v>
      </c>
      <c r="T774" s="162" t="s">
        <v>48</v>
      </c>
    </row>
    <row r="775" spans="2:20" ht="20.25" customHeight="1">
      <c r="C775" s="109"/>
      <c r="D775" s="115">
        <f t="shared" si="217"/>
        <v>775</v>
      </c>
      <c r="E775" s="119" t="s">
        <v>174</v>
      </c>
      <c r="F775" s="121">
        <f t="shared" si="213"/>
        <v>774</v>
      </c>
      <c r="G775" s="118" t="s">
        <v>115</v>
      </c>
      <c r="H775" s="118"/>
      <c r="I775" s="117"/>
      <c r="J775" s="117"/>
      <c r="K775" s="131">
        <v>2</v>
      </c>
      <c r="L775" s="131" t="s">
        <v>81</v>
      </c>
      <c r="M775" s="155">
        <f t="shared" si="216"/>
        <v>2</v>
      </c>
      <c r="N775" s="117" t="s">
        <v>81</v>
      </c>
      <c r="O775" s="133">
        <v>0.5</v>
      </c>
      <c r="P775" s="117" t="s">
        <v>162</v>
      </c>
      <c r="Q775" s="163">
        <f t="shared" si="214"/>
        <v>1</v>
      </c>
      <c r="R775" s="161"/>
      <c r="S775" s="163">
        <f t="shared" si="215"/>
        <v>1</v>
      </c>
      <c r="T775" s="162" t="s">
        <v>48</v>
      </c>
    </row>
    <row r="776" spans="2:20" ht="20.25" customHeight="1">
      <c r="C776" s="109"/>
      <c r="D776" s="115">
        <f t="shared" si="217"/>
        <v>776</v>
      </c>
      <c r="E776" s="119" t="s">
        <v>175</v>
      </c>
      <c r="F776" s="121">
        <f t="shared" si="213"/>
        <v>775</v>
      </c>
      <c r="G776" s="118" t="s">
        <v>44</v>
      </c>
      <c r="H776" s="118"/>
      <c r="I776" s="117"/>
      <c r="J776" s="117"/>
      <c r="K776" s="131">
        <v>4</v>
      </c>
      <c r="L776" s="131" t="s">
        <v>81</v>
      </c>
      <c r="M776" s="155">
        <f t="shared" si="216"/>
        <v>4</v>
      </c>
      <c r="N776" s="117" t="s">
        <v>81</v>
      </c>
      <c r="O776" s="133">
        <v>0.5</v>
      </c>
      <c r="P776" s="117" t="s">
        <v>162</v>
      </c>
      <c r="Q776" s="163">
        <f t="shared" si="214"/>
        <v>2</v>
      </c>
      <c r="R776" s="161"/>
      <c r="S776" s="163">
        <f t="shared" si="215"/>
        <v>2</v>
      </c>
      <c r="T776" s="162" t="s">
        <v>48</v>
      </c>
    </row>
    <row r="777" spans="2:20" ht="20.25" customHeight="1">
      <c r="B777" s="124"/>
      <c r="C777" s="109">
        <f>D777</f>
        <v>777</v>
      </c>
      <c r="D777" s="115">
        <f t="shared" si="217"/>
        <v>777</v>
      </c>
      <c r="E777" s="116" t="s">
        <v>176</v>
      </c>
      <c r="F777" s="121">
        <f>D762</f>
        <v>762</v>
      </c>
      <c r="G777" s="118"/>
      <c r="H777" s="118"/>
      <c r="I777" s="117"/>
      <c r="J777" s="117"/>
      <c r="K777" s="131"/>
      <c r="L777" s="131"/>
      <c r="M777" s="132"/>
      <c r="N777" s="117"/>
      <c r="O777" s="133"/>
      <c r="P777" s="117"/>
      <c r="Q777" s="163"/>
      <c r="R777" s="161"/>
      <c r="S777" s="163"/>
      <c r="T777" s="162"/>
    </row>
    <row r="778" spans="2:20" ht="20.25" customHeight="1">
      <c r="C778" s="109"/>
      <c r="D778" s="115">
        <f t="shared" si="217"/>
        <v>778</v>
      </c>
      <c r="E778" s="119" t="s">
        <v>135</v>
      </c>
      <c r="F778" s="121">
        <f t="shared" ref="F778:F781" si="218">D777</f>
        <v>777</v>
      </c>
      <c r="G778" s="118"/>
      <c r="H778" s="118"/>
      <c r="I778" s="117"/>
      <c r="J778" s="117"/>
      <c r="K778" s="131">
        <v>1</v>
      </c>
      <c r="L778" s="131" t="s">
        <v>160</v>
      </c>
      <c r="M778" s="132">
        <v>1</v>
      </c>
      <c r="N778" s="117" t="s">
        <v>160</v>
      </c>
      <c r="O778" s="133">
        <v>4</v>
      </c>
      <c r="P778" s="117" t="s">
        <v>177</v>
      </c>
      <c r="Q778" s="163">
        <f t="shared" ref="Q778:Q781" si="219">M778*O778</f>
        <v>4</v>
      </c>
      <c r="R778" s="161"/>
      <c r="S778" s="163">
        <f t="shared" ref="S778:S781" si="220">Q778+R778</f>
        <v>4</v>
      </c>
      <c r="T778" s="162" t="s">
        <v>42</v>
      </c>
    </row>
    <row r="779" spans="2:20" ht="20.25" customHeight="1">
      <c r="C779" s="109"/>
      <c r="D779" s="115">
        <f t="shared" si="217"/>
        <v>779</v>
      </c>
      <c r="E779" s="119" t="s">
        <v>178</v>
      </c>
      <c r="F779" s="121">
        <f t="shared" si="218"/>
        <v>778</v>
      </c>
      <c r="G779" s="118" t="s">
        <v>44</v>
      </c>
      <c r="H779" s="118"/>
      <c r="I779" s="117">
        <v>18</v>
      </c>
      <c r="J779" s="117"/>
      <c r="K779" s="131">
        <v>4</v>
      </c>
      <c r="L779" s="131" t="s">
        <v>81</v>
      </c>
      <c r="M779" s="155">
        <f t="shared" ref="M779:M781" si="221">K779</f>
        <v>4</v>
      </c>
      <c r="N779" s="117" t="s">
        <v>81</v>
      </c>
      <c r="O779" s="133">
        <v>0.5</v>
      </c>
      <c r="P779" s="117" t="s">
        <v>162</v>
      </c>
      <c r="Q779" s="163">
        <f t="shared" si="219"/>
        <v>2</v>
      </c>
      <c r="R779" s="161"/>
      <c r="S779" s="163">
        <f t="shared" si="220"/>
        <v>2</v>
      </c>
      <c r="T779" s="162" t="s">
        <v>48</v>
      </c>
    </row>
    <row r="780" spans="2:20" ht="20.25" customHeight="1">
      <c r="C780" s="109"/>
      <c r="D780" s="115">
        <f t="shared" si="217"/>
        <v>780</v>
      </c>
      <c r="E780" s="119" t="s">
        <v>179</v>
      </c>
      <c r="F780" s="121">
        <f t="shared" si="218"/>
        <v>779</v>
      </c>
      <c r="G780" s="118" t="s">
        <v>52</v>
      </c>
      <c r="H780" s="118"/>
      <c r="I780" s="117"/>
      <c r="J780" s="117"/>
      <c r="K780" s="131">
        <v>4</v>
      </c>
      <c r="L780" s="131" t="s">
        <v>81</v>
      </c>
      <c r="M780" s="155">
        <f t="shared" si="221"/>
        <v>4</v>
      </c>
      <c r="N780" s="117" t="s">
        <v>81</v>
      </c>
      <c r="O780" s="133">
        <v>0.5</v>
      </c>
      <c r="P780" s="117" t="s">
        <v>162</v>
      </c>
      <c r="Q780" s="163">
        <f t="shared" si="219"/>
        <v>2</v>
      </c>
      <c r="R780" s="161"/>
      <c r="S780" s="163">
        <f t="shared" si="220"/>
        <v>2</v>
      </c>
      <c r="T780" s="162" t="s">
        <v>48</v>
      </c>
    </row>
    <row r="781" spans="2:20" ht="20.25" customHeight="1">
      <c r="C781" s="109"/>
      <c r="D781" s="115">
        <f t="shared" si="217"/>
        <v>781</v>
      </c>
      <c r="E781" s="119" t="s">
        <v>180</v>
      </c>
      <c r="F781" s="121">
        <f t="shared" si="218"/>
        <v>780</v>
      </c>
      <c r="G781" s="118" t="s">
        <v>121</v>
      </c>
      <c r="H781" s="118"/>
      <c r="I781" s="117"/>
      <c r="J781" s="117"/>
      <c r="K781" s="131">
        <v>4</v>
      </c>
      <c r="L781" s="131" t="s">
        <v>81</v>
      </c>
      <c r="M781" s="155">
        <f t="shared" si="221"/>
        <v>4</v>
      </c>
      <c r="N781" s="117" t="s">
        <v>81</v>
      </c>
      <c r="O781" s="133">
        <v>0.5</v>
      </c>
      <c r="P781" s="117" t="s">
        <v>162</v>
      </c>
      <c r="Q781" s="163">
        <f t="shared" si="219"/>
        <v>2</v>
      </c>
      <c r="R781" s="161"/>
      <c r="S781" s="163">
        <f t="shared" si="220"/>
        <v>2</v>
      </c>
      <c r="T781" s="162" t="s">
        <v>48</v>
      </c>
    </row>
    <row r="782" spans="2:20" ht="20.25" customHeight="1">
      <c r="B782" s="124"/>
      <c r="C782" s="109">
        <f>D782</f>
        <v>782</v>
      </c>
      <c r="D782" s="115">
        <f t="shared" si="217"/>
        <v>782</v>
      </c>
      <c r="E782" s="116" t="s">
        <v>181</v>
      </c>
      <c r="F782" s="121">
        <f>D777</f>
        <v>777</v>
      </c>
      <c r="G782" s="118"/>
      <c r="H782" s="118"/>
      <c r="I782" s="117"/>
      <c r="J782" s="117"/>
      <c r="K782" s="131"/>
      <c r="L782" s="131"/>
      <c r="M782" s="132"/>
      <c r="N782" s="117"/>
      <c r="O782" s="133"/>
      <c r="P782" s="117"/>
      <c r="Q782" s="163"/>
      <c r="R782" s="161"/>
      <c r="S782" s="163"/>
      <c r="T782" s="162"/>
    </row>
    <row r="783" spans="2:20" ht="20.25" customHeight="1">
      <c r="C783" s="109"/>
      <c r="D783" s="115">
        <f t="shared" si="217"/>
        <v>783</v>
      </c>
      <c r="E783" s="119" t="s">
        <v>182</v>
      </c>
      <c r="F783" s="121">
        <f t="shared" ref="F783:F786" si="222">D782</f>
        <v>782</v>
      </c>
      <c r="G783" s="118" t="s">
        <v>44</v>
      </c>
      <c r="H783" s="118"/>
      <c r="I783" s="117">
        <v>24</v>
      </c>
      <c r="J783" s="117"/>
      <c r="K783" s="131">
        <v>1</v>
      </c>
      <c r="L783" s="131" t="s">
        <v>160</v>
      </c>
      <c r="M783" s="132">
        <v>1</v>
      </c>
      <c r="N783" s="117" t="s">
        <v>160</v>
      </c>
      <c r="O783" s="133">
        <v>4</v>
      </c>
      <c r="P783" s="117" t="s">
        <v>177</v>
      </c>
      <c r="Q783" s="163">
        <f t="shared" ref="Q783:Q786" si="223">M783*O783</f>
        <v>4</v>
      </c>
      <c r="R783" s="161"/>
      <c r="S783" s="163">
        <f t="shared" ref="S783:S786" si="224">Q783+R783</f>
        <v>4</v>
      </c>
      <c r="T783" s="162" t="s">
        <v>42</v>
      </c>
    </row>
    <row r="784" spans="2:20" ht="20.25" customHeight="1">
      <c r="C784" s="109"/>
      <c r="D784" s="115">
        <f t="shared" si="217"/>
        <v>784</v>
      </c>
      <c r="E784" s="119" t="s">
        <v>183</v>
      </c>
      <c r="F784" s="121">
        <f t="shared" si="222"/>
        <v>783</v>
      </c>
      <c r="G784" s="118" t="s">
        <v>52</v>
      </c>
      <c r="H784" s="118"/>
      <c r="I784" s="117"/>
      <c r="J784" s="117"/>
      <c r="K784" s="131">
        <v>4</v>
      </c>
      <c r="L784" s="131" t="s">
        <v>81</v>
      </c>
      <c r="M784" s="155">
        <f t="shared" ref="M784:M786" si="225">K784</f>
        <v>4</v>
      </c>
      <c r="N784" s="117" t="s">
        <v>81</v>
      </c>
      <c r="O784" s="133">
        <v>0.5</v>
      </c>
      <c r="P784" s="117" t="s">
        <v>162</v>
      </c>
      <c r="Q784" s="163">
        <f t="shared" si="223"/>
        <v>2</v>
      </c>
      <c r="R784" s="161"/>
      <c r="S784" s="163">
        <f t="shared" si="224"/>
        <v>2</v>
      </c>
      <c r="T784" s="162" t="s">
        <v>48</v>
      </c>
    </row>
    <row r="785" spans="2:20" ht="20.25" customHeight="1">
      <c r="C785" s="109"/>
      <c r="D785" s="115">
        <f t="shared" si="217"/>
        <v>785</v>
      </c>
      <c r="E785" s="119" t="s">
        <v>184</v>
      </c>
      <c r="F785" s="121">
        <f t="shared" si="222"/>
        <v>784</v>
      </c>
      <c r="G785" s="118" t="s">
        <v>121</v>
      </c>
      <c r="H785" s="118"/>
      <c r="I785" s="117"/>
      <c r="J785" s="117"/>
      <c r="K785" s="131">
        <v>4</v>
      </c>
      <c r="L785" s="131" t="s">
        <v>81</v>
      </c>
      <c r="M785" s="155">
        <f t="shared" si="225"/>
        <v>4</v>
      </c>
      <c r="N785" s="117" t="s">
        <v>81</v>
      </c>
      <c r="O785" s="133">
        <v>0.5</v>
      </c>
      <c r="P785" s="117" t="s">
        <v>162</v>
      </c>
      <c r="Q785" s="163">
        <f t="shared" si="223"/>
        <v>2</v>
      </c>
      <c r="R785" s="161"/>
      <c r="S785" s="163">
        <f t="shared" si="224"/>
        <v>2</v>
      </c>
      <c r="T785" s="162" t="s">
        <v>48</v>
      </c>
    </row>
    <row r="786" spans="2:20" ht="20.25" customHeight="1">
      <c r="C786" s="109"/>
      <c r="D786" s="115">
        <f t="shared" si="217"/>
        <v>786</v>
      </c>
      <c r="E786" s="119" t="s">
        <v>185</v>
      </c>
      <c r="F786" s="121">
        <f t="shared" si="222"/>
        <v>785</v>
      </c>
      <c r="G786" s="118" t="s">
        <v>44</v>
      </c>
      <c r="H786" s="118"/>
      <c r="I786" s="117"/>
      <c r="J786" s="117"/>
      <c r="K786" s="131">
        <v>4</v>
      </c>
      <c r="L786" s="131" t="s">
        <v>81</v>
      </c>
      <c r="M786" s="155">
        <f t="shared" si="225"/>
        <v>4</v>
      </c>
      <c r="N786" s="117" t="s">
        <v>81</v>
      </c>
      <c r="O786" s="133">
        <v>0.5</v>
      </c>
      <c r="P786" s="117" t="s">
        <v>162</v>
      </c>
      <c r="Q786" s="163">
        <f t="shared" si="223"/>
        <v>2</v>
      </c>
      <c r="R786" s="161"/>
      <c r="S786" s="163">
        <f t="shared" si="224"/>
        <v>2</v>
      </c>
      <c r="T786" s="162" t="s">
        <v>48</v>
      </c>
    </row>
    <row r="787" spans="2:20" ht="20.25" customHeight="1">
      <c r="B787" s="124"/>
      <c r="C787" s="109">
        <f>D787</f>
        <v>787</v>
      </c>
      <c r="D787" s="115">
        <f t="shared" si="217"/>
        <v>787</v>
      </c>
      <c r="E787" s="116" t="s">
        <v>749</v>
      </c>
      <c r="F787" s="121">
        <f>D782</f>
        <v>782</v>
      </c>
      <c r="G787" s="118"/>
      <c r="H787" s="118"/>
      <c r="I787" s="117"/>
      <c r="J787" s="117"/>
      <c r="K787" s="131"/>
      <c r="L787" s="131"/>
      <c r="M787" s="132"/>
      <c r="N787" s="117"/>
      <c r="O787" s="133"/>
      <c r="P787" s="117"/>
      <c r="Q787" s="163"/>
      <c r="R787" s="161"/>
      <c r="S787" s="163"/>
      <c r="T787" s="162"/>
    </row>
    <row r="788" spans="2:20" ht="20.25" customHeight="1">
      <c r="C788" s="109"/>
      <c r="D788" s="115">
        <f t="shared" si="217"/>
        <v>788</v>
      </c>
      <c r="E788" s="119" t="s">
        <v>187</v>
      </c>
      <c r="F788" s="121">
        <f t="shared" ref="F788:F789" si="226">D787</f>
        <v>787</v>
      </c>
      <c r="G788" s="118" t="s">
        <v>44</v>
      </c>
      <c r="H788" s="118"/>
      <c r="I788" s="117"/>
      <c r="J788" s="117"/>
      <c r="K788" s="131">
        <v>4</v>
      </c>
      <c r="L788" s="131" t="s">
        <v>81</v>
      </c>
      <c r="M788" s="155">
        <f t="shared" ref="M788:M789" si="227">K788</f>
        <v>4</v>
      </c>
      <c r="N788" s="117" t="s">
        <v>81</v>
      </c>
      <c r="O788" s="133">
        <v>1</v>
      </c>
      <c r="P788" s="117" t="s">
        <v>162</v>
      </c>
      <c r="Q788" s="163">
        <f t="shared" ref="Q788:Q789" si="228">M788*O788</f>
        <v>4</v>
      </c>
      <c r="R788" s="161"/>
      <c r="S788" s="163">
        <f t="shared" ref="S788:S789" si="229">Q788+R788</f>
        <v>4</v>
      </c>
      <c r="T788" s="162" t="s">
        <v>42</v>
      </c>
    </row>
    <row r="789" spans="2:20" ht="20.25" customHeight="1">
      <c r="C789" s="109"/>
      <c r="D789" s="115">
        <f t="shared" si="217"/>
        <v>789</v>
      </c>
      <c r="E789" s="119" t="s">
        <v>188</v>
      </c>
      <c r="F789" s="121">
        <f t="shared" si="226"/>
        <v>788</v>
      </c>
      <c r="G789" s="118" t="s">
        <v>44</v>
      </c>
      <c r="H789" s="118"/>
      <c r="I789" s="117"/>
      <c r="J789" s="117"/>
      <c r="K789" s="131">
        <v>4</v>
      </c>
      <c r="L789" s="131" t="s">
        <v>81</v>
      </c>
      <c r="M789" s="155">
        <f t="shared" si="227"/>
        <v>4</v>
      </c>
      <c r="N789" s="117" t="s">
        <v>81</v>
      </c>
      <c r="O789" s="133">
        <v>1</v>
      </c>
      <c r="P789" s="117" t="s">
        <v>162</v>
      </c>
      <c r="Q789" s="163">
        <f t="shared" si="228"/>
        <v>4</v>
      </c>
      <c r="R789" s="161"/>
      <c r="S789" s="163">
        <f t="shared" si="229"/>
        <v>4</v>
      </c>
      <c r="T789" s="162" t="s">
        <v>42</v>
      </c>
    </row>
    <row r="790" spans="2:20" ht="20.25" customHeight="1">
      <c r="B790" s="124"/>
      <c r="C790" s="109">
        <f>D790</f>
        <v>790</v>
      </c>
      <c r="D790" s="115">
        <f t="shared" si="217"/>
        <v>790</v>
      </c>
      <c r="E790" s="116" t="s">
        <v>189</v>
      </c>
      <c r="F790" s="121">
        <f>D787</f>
        <v>787</v>
      </c>
      <c r="G790" s="118"/>
      <c r="H790" s="118"/>
      <c r="I790" s="117"/>
      <c r="J790" s="117"/>
      <c r="K790" s="131"/>
      <c r="L790" s="131"/>
      <c r="M790" s="132"/>
      <c r="N790" s="117"/>
      <c r="O790" s="133"/>
      <c r="P790" s="117"/>
      <c r="Q790" s="163"/>
      <c r="R790" s="161"/>
      <c r="S790" s="163"/>
      <c r="T790" s="162"/>
    </row>
    <row r="791" spans="2:20" ht="20.25" customHeight="1">
      <c r="B791" s="124"/>
      <c r="C791" s="109"/>
      <c r="D791" s="115">
        <f t="shared" si="217"/>
        <v>791</v>
      </c>
      <c r="E791" s="119" t="s">
        <v>190</v>
      </c>
      <c r="F791" s="121">
        <f t="shared" ref="F791:F799" si="230">D790</f>
        <v>790</v>
      </c>
      <c r="G791" s="118" t="s">
        <v>44</v>
      </c>
      <c r="H791" s="118"/>
      <c r="I791" s="117">
        <v>12</v>
      </c>
      <c r="J791" s="117"/>
      <c r="K791" s="131">
        <v>1</v>
      </c>
      <c r="L791" s="131" t="s">
        <v>81</v>
      </c>
      <c r="M791" s="155">
        <f t="shared" ref="M791:M794" si="231">K791</f>
        <v>1</v>
      </c>
      <c r="N791" s="117" t="s">
        <v>81</v>
      </c>
      <c r="O791" s="133">
        <v>4</v>
      </c>
      <c r="P791" s="117" t="s">
        <v>162</v>
      </c>
      <c r="Q791" s="163">
        <f t="shared" ref="Q791:Q794" si="232">M791*O791</f>
        <v>4</v>
      </c>
      <c r="R791" s="161"/>
      <c r="S791" s="163">
        <f t="shared" ref="S791:S794" si="233">Q791+R791</f>
        <v>4</v>
      </c>
      <c r="T791" s="162" t="s">
        <v>48</v>
      </c>
    </row>
    <row r="792" spans="2:20" ht="20.25" customHeight="1">
      <c r="C792" s="109"/>
      <c r="D792" s="115">
        <f t="shared" si="217"/>
        <v>792</v>
      </c>
      <c r="E792" s="119" t="s">
        <v>191</v>
      </c>
      <c r="F792" s="121">
        <f t="shared" si="230"/>
        <v>791</v>
      </c>
      <c r="G792" s="118" t="s">
        <v>52</v>
      </c>
      <c r="H792" s="118"/>
      <c r="I792" s="117"/>
      <c r="J792" s="117"/>
      <c r="K792" s="131">
        <v>1</v>
      </c>
      <c r="L792" s="131" t="s">
        <v>81</v>
      </c>
      <c r="M792" s="155">
        <f t="shared" si="231"/>
        <v>1</v>
      </c>
      <c r="N792" s="117" t="s">
        <v>81</v>
      </c>
      <c r="O792" s="133">
        <v>4</v>
      </c>
      <c r="P792" s="117" t="s">
        <v>162</v>
      </c>
      <c r="Q792" s="163">
        <f t="shared" si="232"/>
        <v>4</v>
      </c>
      <c r="R792" s="161"/>
      <c r="S792" s="163">
        <f t="shared" si="233"/>
        <v>4</v>
      </c>
      <c r="T792" s="162" t="s">
        <v>48</v>
      </c>
    </row>
    <row r="793" spans="2:20" ht="20.25" customHeight="1">
      <c r="C793" s="109"/>
      <c r="D793" s="115">
        <f t="shared" si="217"/>
        <v>793</v>
      </c>
      <c r="E793" s="119" t="s">
        <v>192</v>
      </c>
      <c r="F793" s="121">
        <f t="shared" si="230"/>
        <v>792</v>
      </c>
      <c r="G793" s="118" t="s">
        <v>44</v>
      </c>
      <c r="H793" s="118"/>
      <c r="I793" s="117"/>
      <c r="J793" s="117"/>
      <c r="K793" s="131">
        <v>1</v>
      </c>
      <c r="L793" s="131" t="s">
        <v>81</v>
      </c>
      <c r="M793" s="155">
        <f t="shared" si="231"/>
        <v>1</v>
      </c>
      <c r="N793" s="117" t="s">
        <v>81</v>
      </c>
      <c r="O793" s="133">
        <v>2</v>
      </c>
      <c r="P793" s="117" t="s">
        <v>162</v>
      </c>
      <c r="Q793" s="163">
        <f t="shared" si="232"/>
        <v>2</v>
      </c>
      <c r="R793" s="161"/>
      <c r="S793" s="163">
        <f t="shared" si="233"/>
        <v>2</v>
      </c>
      <c r="T793" s="162" t="s">
        <v>48</v>
      </c>
    </row>
    <row r="794" spans="2:20" ht="20.25" customHeight="1">
      <c r="C794" s="109"/>
      <c r="D794" s="115">
        <f t="shared" si="217"/>
        <v>794</v>
      </c>
      <c r="E794" s="119" t="s">
        <v>193</v>
      </c>
      <c r="F794" s="121">
        <f t="shared" si="230"/>
        <v>793</v>
      </c>
      <c r="G794" s="118" t="s">
        <v>44</v>
      </c>
      <c r="H794" s="118"/>
      <c r="I794" s="117"/>
      <c r="J794" s="117"/>
      <c r="K794" s="131">
        <v>1</v>
      </c>
      <c r="L794" s="131" t="s">
        <v>81</v>
      </c>
      <c r="M794" s="155">
        <f t="shared" si="231"/>
        <v>1</v>
      </c>
      <c r="N794" s="117" t="s">
        <v>81</v>
      </c>
      <c r="O794" s="133">
        <v>1</v>
      </c>
      <c r="P794" s="117" t="s">
        <v>162</v>
      </c>
      <c r="Q794" s="163">
        <f t="shared" si="232"/>
        <v>1</v>
      </c>
      <c r="R794" s="161"/>
      <c r="S794" s="163">
        <f t="shared" si="233"/>
        <v>1</v>
      </c>
      <c r="T794" s="162" t="s">
        <v>48</v>
      </c>
    </row>
    <row r="795" spans="2:20" ht="20.25" customHeight="1">
      <c r="B795" s="124"/>
      <c r="C795" s="109">
        <f t="shared" ref="C795:C796" si="234">D795</f>
        <v>795</v>
      </c>
      <c r="D795" s="115">
        <f t="shared" si="217"/>
        <v>795</v>
      </c>
      <c r="E795" s="176" t="s">
        <v>194</v>
      </c>
      <c r="F795" s="121">
        <f t="shared" si="230"/>
        <v>794</v>
      </c>
      <c r="G795" s="118"/>
      <c r="H795" s="118"/>
      <c r="I795" s="117"/>
      <c r="J795" s="117"/>
      <c r="K795" s="131"/>
      <c r="L795" s="131"/>
      <c r="M795" s="132"/>
      <c r="N795" s="117"/>
      <c r="O795" s="133"/>
      <c r="P795" s="117"/>
      <c r="Q795" s="163"/>
      <c r="R795" s="161"/>
      <c r="S795" s="163"/>
      <c r="T795" s="162"/>
    </row>
    <row r="796" spans="2:20" ht="20.25" customHeight="1">
      <c r="B796" s="124"/>
      <c r="C796" s="109">
        <f t="shared" si="234"/>
        <v>796</v>
      </c>
      <c r="D796" s="115">
        <f t="shared" si="217"/>
        <v>796</v>
      </c>
      <c r="E796" s="116" t="s">
        <v>195</v>
      </c>
      <c r="F796" s="121">
        <f t="shared" si="230"/>
        <v>795</v>
      </c>
      <c r="G796" s="118"/>
      <c r="H796" s="118"/>
      <c r="I796" s="117"/>
      <c r="J796" s="117"/>
      <c r="K796" s="131"/>
      <c r="L796" s="131"/>
      <c r="M796" s="132"/>
      <c r="N796" s="117"/>
      <c r="O796" s="133"/>
      <c r="P796" s="117"/>
      <c r="Q796" s="163"/>
      <c r="R796" s="161"/>
      <c r="S796" s="163"/>
      <c r="T796" s="162"/>
    </row>
    <row r="797" spans="2:20" ht="20.25" customHeight="1">
      <c r="C797" s="109"/>
      <c r="D797" s="115">
        <f t="shared" si="217"/>
        <v>797</v>
      </c>
      <c r="E797" s="119" t="s">
        <v>196</v>
      </c>
      <c r="F797" s="121">
        <f t="shared" si="230"/>
        <v>796</v>
      </c>
      <c r="G797" s="118"/>
      <c r="H797" s="118"/>
      <c r="I797" s="117"/>
      <c r="J797" s="117"/>
      <c r="K797" s="131">
        <v>1</v>
      </c>
      <c r="L797" s="131" t="s">
        <v>81</v>
      </c>
      <c r="M797" s="155">
        <f t="shared" ref="M797" si="235">K797</f>
        <v>1</v>
      </c>
      <c r="N797" s="117" t="s">
        <v>84</v>
      </c>
      <c r="O797" s="133">
        <v>4</v>
      </c>
      <c r="P797" s="117" t="s">
        <v>41</v>
      </c>
      <c r="Q797" s="163">
        <f t="shared" ref="Q797:Q799" si="236">M797*O797</f>
        <v>4</v>
      </c>
      <c r="R797" s="161"/>
      <c r="S797" s="163">
        <f t="shared" ref="S797:S799" si="237">Q797+R797</f>
        <v>4</v>
      </c>
      <c r="T797" s="162" t="s">
        <v>48</v>
      </c>
    </row>
    <row r="798" spans="2:20" ht="20.25" customHeight="1">
      <c r="C798" s="109"/>
      <c r="D798" s="115">
        <f t="shared" si="217"/>
        <v>798</v>
      </c>
      <c r="E798" s="119" t="s">
        <v>197</v>
      </c>
      <c r="F798" s="121">
        <f t="shared" si="230"/>
        <v>797</v>
      </c>
      <c r="G798" s="118" t="s">
        <v>44</v>
      </c>
      <c r="H798" s="118"/>
      <c r="I798" s="117">
        <v>14</v>
      </c>
      <c r="J798" s="117"/>
      <c r="K798" s="131">
        <v>19</v>
      </c>
      <c r="L798" s="131" t="s">
        <v>81</v>
      </c>
      <c r="M798" s="132">
        <v>1</v>
      </c>
      <c r="N798" s="117" t="s">
        <v>84</v>
      </c>
      <c r="O798" s="133">
        <v>1</v>
      </c>
      <c r="P798" s="117" t="s">
        <v>41</v>
      </c>
      <c r="Q798" s="163">
        <f t="shared" si="236"/>
        <v>1</v>
      </c>
      <c r="R798" s="161"/>
      <c r="S798" s="163">
        <f t="shared" si="237"/>
        <v>1</v>
      </c>
      <c r="T798" s="162" t="s">
        <v>48</v>
      </c>
    </row>
    <row r="799" spans="2:20" ht="20.25" customHeight="1">
      <c r="C799" s="109"/>
      <c r="D799" s="115">
        <f t="shared" si="217"/>
        <v>799</v>
      </c>
      <c r="E799" s="119" t="s">
        <v>198</v>
      </c>
      <c r="F799" s="121">
        <f t="shared" si="230"/>
        <v>798</v>
      </c>
      <c r="G799" s="118" t="s">
        <v>52</v>
      </c>
      <c r="H799" s="118"/>
      <c r="I799" s="117"/>
      <c r="J799" s="117"/>
      <c r="K799" s="131">
        <v>19</v>
      </c>
      <c r="L799" s="131" t="s">
        <v>81</v>
      </c>
      <c r="M799" s="132">
        <v>1</v>
      </c>
      <c r="N799" s="117" t="s">
        <v>84</v>
      </c>
      <c r="O799" s="133">
        <v>5</v>
      </c>
      <c r="P799" s="117" t="s">
        <v>41</v>
      </c>
      <c r="Q799" s="163">
        <f t="shared" si="236"/>
        <v>5</v>
      </c>
      <c r="R799" s="161"/>
      <c r="S799" s="163">
        <f t="shared" si="237"/>
        <v>5</v>
      </c>
      <c r="T799" s="162" t="s">
        <v>48</v>
      </c>
    </row>
    <row r="800" spans="2:20" ht="20.25" customHeight="1">
      <c r="B800" s="124"/>
      <c r="C800" s="109">
        <f>D800</f>
        <v>800</v>
      </c>
      <c r="D800" s="115">
        <f t="shared" si="217"/>
        <v>800</v>
      </c>
      <c r="E800" s="116" t="s">
        <v>199</v>
      </c>
      <c r="F800" s="121">
        <f>D796</f>
        <v>796</v>
      </c>
      <c r="G800" s="118"/>
      <c r="H800" s="118"/>
      <c r="I800" s="117"/>
      <c r="J800" s="117"/>
      <c r="K800" s="131"/>
      <c r="L800" s="131"/>
      <c r="M800" s="132"/>
      <c r="N800" s="117"/>
      <c r="O800" s="133"/>
      <c r="P800" s="117"/>
      <c r="Q800" s="163"/>
      <c r="R800" s="161"/>
      <c r="S800" s="163"/>
      <c r="T800" s="162"/>
    </row>
    <row r="801" spans="3:20" ht="20.25" customHeight="1">
      <c r="C801" s="109"/>
      <c r="D801" s="115">
        <f t="shared" si="217"/>
        <v>801</v>
      </c>
      <c r="E801" s="119" t="s">
        <v>200</v>
      </c>
      <c r="F801" s="121">
        <f t="shared" ref="F801:F802" si="238">D800</f>
        <v>800</v>
      </c>
      <c r="G801" s="118" t="s">
        <v>201</v>
      </c>
      <c r="H801" s="118"/>
      <c r="I801" s="117"/>
      <c r="J801" s="117"/>
      <c r="K801" s="131">
        <v>19</v>
      </c>
      <c r="L801" s="131" t="s">
        <v>81</v>
      </c>
      <c r="M801" s="155">
        <f t="shared" ref="M801" si="239">K801</f>
        <v>19</v>
      </c>
      <c r="N801" s="117" t="s">
        <v>81</v>
      </c>
      <c r="O801" s="133">
        <v>1</v>
      </c>
      <c r="P801" s="117" t="s">
        <v>162</v>
      </c>
      <c r="Q801" s="163">
        <f t="shared" ref="Q801:Q802" si="240">M801*O801</f>
        <v>19</v>
      </c>
      <c r="R801" s="161"/>
      <c r="S801" s="163">
        <f t="shared" ref="S801:S802" si="241">Q801+R801</f>
        <v>19</v>
      </c>
      <c r="T801" s="162" t="s">
        <v>48</v>
      </c>
    </row>
    <row r="802" spans="3:20" ht="20.25" customHeight="1">
      <c r="C802" s="109"/>
      <c r="D802" s="115">
        <f t="shared" si="217"/>
        <v>802</v>
      </c>
      <c r="E802" s="119" t="s">
        <v>202</v>
      </c>
      <c r="F802" s="121">
        <f t="shared" si="238"/>
        <v>801</v>
      </c>
      <c r="G802" s="118" t="s">
        <v>44</v>
      </c>
      <c r="H802" s="118"/>
      <c r="I802" s="117"/>
      <c r="J802" s="117" t="s">
        <v>203</v>
      </c>
      <c r="K802" s="131">
        <v>3</v>
      </c>
      <c r="L802" s="131" t="s">
        <v>81</v>
      </c>
      <c r="M802" s="155">
        <v>3</v>
      </c>
      <c r="N802" s="117" t="s">
        <v>81</v>
      </c>
      <c r="O802" s="133">
        <v>2</v>
      </c>
      <c r="P802" s="117" t="s">
        <v>162</v>
      </c>
      <c r="Q802" s="163">
        <f t="shared" si="240"/>
        <v>6</v>
      </c>
      <c r="R802" s="161"/>
      <c r="S802" s="163">
        <f t="shared" si="241"/>
        <v>6</v>
      </c>
      <c r="T802" s="162" t="s">
        <v>48</v>
      </c>
    </row>
    <row r="803" spans="3:20" ht="20.25" customHeight="1">
      <c r="C803" s="109">
        <f>D803</f>
        <v>803</v>
      </c>
      <c r="D803" s="115">
        <f t="shared" si="217"/>
        <v>803</v>
      </c>
      <c r="E803" s="116" t="s">
        <v>204</v>
      </c>
      <c r="F803" s="121">
        <f>D800</f>
        <v>800</v>
      </c>
      <c r="G803" s="118"/>
      <c r="H803" s="118"/>
      <c r="I803" s="117"/>
      <c r="J803" s="117"/>
      <c r="K803" s="131"/>
      <c r="L803" s="131"/>
      <c r="M803" s="132"/>
      <c r="N803" s="117"/>
      <c r="O803" s="133"/>
      <c r="P803" s="117"/>
      <c r="Q803" s="163"/>
      <c r="R803" s="161"/>
      <c r="S803" s="163"/>
      <c r="T803" s="162"/>
    </row>
    <row r="804" spans="3:20" ht="20.25" customHeight="1">
      <c r="C804" s="109"/>
      <c r="D804" s="115">
        <f t="shared" si="217"/>
        <v>804</v>
      </c>
      <c r="E804" s="119" t="s">
        <v>204</v>
      </c>
      <c r="F804" s="121">
        <f t="shared" ref="F804" si="242">D803</f>
        <v>803</v>
      </c>
      <c r="G804" s="118" t="s">
        <v>55</v>
      </c>
      <c r="H804" s="118"/>
      <c r="I804" s="117" t="s">
        <v>205</v>
      </c>
      <c r="J804" s="117"/>
      <c r="K804" s="131">
        <v>3</v>
      </c>
      <c r="L804" s="131" t="s">
        <v>206</v>
      </c>
      <c r="M804" s="132">
        <v>1</v>
      </c>
      <c r="N804" s="117" t="s">
        <v>84</v>
      </c>
      <c r="O804" s="133">
        <v>10</v>
      </c>
      <c r="P804" s="117" t="s">
        <v>41</v>
      </c>
      <c r="Q804" s="163">
        <f t="shared" ref="Q804" si="243">M804*O804</f>
        <v>10</v>
      </c>
      <c r="R804" s="161"/>
      <c r="S804" s="163">
        <f t="shared" ref="S804" si="244">Q804+R804</f>
        <v>10</v>
      </c>
      <c r="T804" s="162" t="s">
        <v>41</v>
      </c>
    </row>
    <row r="805" spans="3:20" ht="20.25" customHeight="1">
      <c r="C805" s="109">
        <f>D805</f>
        <v>805</v>
      </c>
      <c r="D805" s="115">
        <f t="shared" si="217"/>
        <v>805</v>
      </c>
      <c r="E805" s="116" t="s">
        <v>207</v>
      </c>
      <c r="F805" s="121">
        <f>D803</f>
        <v>803</v>
      </c>
      <c r="G805" s="118"/>
      <c r="H805" s="118"/>
      <c r="I805" s="117"/>
      <c r="J805" s="117"/>
      <c r="K805" s="131"/>
      <c r="L805" s="131"/>
      <c r="M805" s="132"/>
      <c r="N805" s="117"/>
      <c r="O805" s="133"/>
      <c r="P805" s="117"/>
      <c r="Q805" s="163"/>
      <c r="R805" s="161"/>
      <c r="S805" s="163"/>
      <c r="T805" s="162"/>
    </row>
    <row r="806" spans="3:20" ht="20.25" customHeight="1">
      <c r="C806" s="109"/>
      <c r="D806" s="115">
        <f t="shared" si="217"/>
        <v>806</v>
      </c>
      <c r="E806" s="119" t="s">
        <v>208</v>
      </c>
      <c r="F806" s="121">
        <f t="shared" ref="F806:F807" si="245">D805</f>
        <v>805</v>
      </c>
      <c r="G806" s="118" t="s">
        <v>44</v>
      </c>
      <c r="H806" s="118"/>
      <c r="I806" s="117"/>
      <c r="J806" s="117"/>
      <c r="K806" s="131">
        <v>3</v>
      </c>
      <c r="L806" s="131" t="s">
        <v>206</v>
      </c>
      <c r="M806" s="132">
        <v>4</v>
      </c>
      <c r="N806" s="117" t="s">
        <v>206</v>
      </c>
      <c r="O806" s="133">
        <v>6</v>
      </c>
      <c r="P806" s="117" t="s">
        <v>48</v>
      </c>
      <c r="Q806" s="163">
        <f t="shared" ref="Q806:Q807" si="246">M806*O806</f>
        <v>24</v>
      </c>
      <c r="R806" s="161"/>
      <c r="S806" s="163">
        <f t="shared" ref="S806" si="247">Q806+R806</f>
        <v>24</v>
      </c>
      <c r="T806" s="162" t="s">
        <v>162</v>
      </c>
    </row>
    <row r="807" spans="3:20" ht="20.25" customHeight="1">
      <c r="C807" s="109"/>
      <c r="D807" s="115">
        <f t="shared" si="217"/>
        <v>807</v>
      </c>
      <c r="E807" s="119" t="s">
        <v>209</v>
      </c>
      <c r="F807" s="121">
        <f t="shared" si="245"/>
        <v>806</v>
      </c>
      <c r="G807" s="118" t="s">
        <v>63</v>
      </c>
      <c r="H807" s="118"/>
      <c r="I807" s="117"/>
      <c r="J807" s="117"/>
      <c r="K807" s="131">
        <v>9</v>
      </c>
      <c r="L807" s="131" t="s">
        <v>81</v>
      </c>
      <c r="M807" s="155">
        <f>1308*9*2</f>
        <v>23544</v>
      </c>
      <c r="N807" s="117" t="s">
        <v>210</v>
      </c>
      <c r="O807" s="175">
        <f>1/100</f>
        <v>0.01</v>
      </c>
      <c r="P807" s="117"/>
      <c r="Q807" s="163">
        <f t="shared" si="246"/>
        <v>235.44</v>
      </c>
      <c r="R807" s="161"/>
      <c r="S807" s="163">
        <f>(Q807+R807)/16</f>
        <v>14.715</v>
      </c>
      <c r="T807" s="162" t="s">
        <v>42</v>
      </c>
    </row>
    <row r="808" spans="3:20" ht="20.25" customHeight="1">
      <c r="C808" s="109">
        <f>D808</f>
        <v>808</v>
      </c>
      <c r="D808" s="115">
        <f t="shared" si="217"/>
        <v>808</v>
      </c>
      <c r="E808" s="116" t="s">
        <v>211</v>
      </c>
      <c r="F808" s="121">
        <f>D805</f>
        <v>805</v>
      </c>
      <c r="G808" s="118"/>
      <c r="H808" s="118"/>
      <c r="I808" s="117"/>
      <c r="J808" s="117"/>
      <c r="K808" s="131"/>
      <c r="L808" s="131"/>
      <c r="M808" s="132"/>
      <c r="N808" s="117"/>
      <c r="O808" s="133"/>
      <c r="P808" s="117"/>
      <c r="Q808" s="163"/>
      <c r="R808" s="161"/>
      <c r="S808" s="163"/>
      <c r="T808" s="162"/>
    </row>
    <row r="809" spans="3:20" ht="20.25" customHeight="1">
      <c r="C809" s="109"/>
      <c r="D809" s="115">
        <f t="shared" si="217"/>
        <v>809</v>
      </c>
      <c r="E809" s="119" t="s">
        <v>212</v>
      </c>
      <c r="F809" s="121">
        <f t="shared" ref="F809:F813" si="248">D808</f>
        <v>808</v>
      </c>
      <c r="G809" s="118" t="s">
        <v>44</v>
      </c>
      <c r="H809" s="118"/>
      <c r="I809" s="117"/>
      <c r="J809" s="117"/>
      <c r="K809" s="131">
        <v>3</v>
      </c>
      <c r="L809" s="131" t="s">
        <v>81</v>
      </c>
      <c r="M809" s="155">
        <f t="shared" ref="M809" si="249">K809</f>
        <v>3</v>
      </c>
      <c r="N809" s="117" t="s">
        <v>81</v>
      </c>
      <c r="O809" s="133">
        <v>0.25</v>
      </c>
      <c r="P809" s="117" t="s">
        <v>162</v>
      </c>
      <c r="Q809" s="163">
        <f t="shared" ref="Q809:Q813" si="250">M809*O809</f>
        <v>0.75</v>
      </c>
      <c r="R809" s="161"/>
      <c r="S809" s="163">
        <f t="shared" ref="S809:S813" si="251">Q809+R809</f>
        <v>0.75</v>
      </c>
      <c r="T809" s="162" t="s">
        <v>48</v>
      </c>
    </row>
    <row r="810" spans="3:20" ht="20.25" customHeight="1">
      <c r="C810" s="109"/>
      <c r="D810" s="115">
        <f t="shared" si="217"/>
        <v>810</v>
      </c>
      <c r="E810" s="119" t="s">
        <v>213</v>
      </c>
      <c r="F810" s="121">
        <f t="shared" si="248"/>
        <v>809</v>
      </c>
      <c r="G810" s="118" t="s">
        <v>44</v>
      </c>
      <c r="H810" s="118"/>
      <c r="I810" s="117"/>
      <c r="J810" s="117"/>
      <c r="K810" s="131">
        <v>3</v>
      </c>
      <c r="L810" s="131" t="s">
        <v>81</v>
      </c>
      <c r="M810" s="132">
        <v>1</v>
      </c>
      <c r="N810" s="117" t="s">
        <v>160</v>
      </c>
      <c r="O810" s="133">
        <v>1</v>
      </c>
      <c r="P810" s="117" t="s">
        <v>48</v>
      </c>
      <c r="Q810" s="163">
        <f t="shared" si="250"/>
        <v>1</v>
      </c>
      <c r="R810" s="161"/>
      <c r="S810" s="163">
        <f t="shared" si="251"/>
        <v>1</v>
      </c>
      <c r="T810" s="162" t="s">
        <v>48</v>
      </c>
    </row>
    <row r="811" spans="3:20" ht="20.25" customHeight="1">
      <c r="C811" s="109"/>
      <c r="D811" s="115">
        <f t="shared" si="217"/>
        <v>811</v>
      </c>
      <c r="E811" s="119" t="s">
        <v>214</v>
      </c>
      <c r="F811" s="121">
        <f t="shared" si="248"/>
        <v>810</v>
      </c>
      <c r="G811" s="118" t="s">
        <v>55</v>
      </c>
      <c r="H811" s="118"/>
      <c r="I811" s="117"/>
      <c r="J811" s="117"/>
      <c r="K811" s="131">
        <v>3</v>
      </c>
      <c r="L811" s="131" t="s">
        <v>81</v>
      </c>
      <c r="M811" s="132">
        <v>1</v>
      </c>
      <c r="N811" s="117" t="s">
        <v>160</v>
      </c>
      <c r="O811" s="133">
        <v>5</v>
      </c>
      <c r="P811" s="117" t="s">
        <v>41</v>
      </c>
      <c r="Q811" s="163">
        <f t="shared" si="250"/>
        <v>5</v>
      </c>
      <c r="R811" s="161"/>
      <c r="S811" s="163">
        <f t="shared" si="251"/>
        <v>5</v>
      </c>
      <c r="T811" s="162" t="s">
        <v>41</v>
      </c>
    </row>
    <row r="812" spans="3:20" ht="20.25" customHeight="1">
      <c r="C812" s="109"/>
      <c r="D812" s="115">
        <f t="shared" si="217"/>
        <v>812</v>
      </c>
      <c r="E812" s="119" t="s">
        <v>215</v>
      </c>
      <c r="F812" s="121">
        <f t="shared" si="248"/>
        <v>811</v>
      </c>
      <c r="G812" s="118" t="s">
        <v>55</v>
      </c>
      <c r="H812" s="118"/>
      <c r="I812" s="117"/>
      <c r="J812" s="117"/>
      <c r="K812" s="131">
        <v>3</v>
      </c>
      <c r="L812" s="131" t="s">
        <v>81</v>
      </c>
      <c r="M812" s="132">
        <v>1</v>
      </c>
      <c r="N812" s="117" t="s">
        <v>160</v>
      </c>
      <c r="O812" s="133">
        <v>5</v>
      </c>
      <c r="P812" s="117" t="s">
        <v>41</v>
      </c>
      <c r="Q812" s="163">
        <f t="shared" si="250"/>
        <v>5</v>
      </c>
      <c r="R812" s="161"/>
      <c r="S812" s="163">
        <f t="shared" si="251"/>
        <v>5</v>
      </c>
      <c r="T812" s="162" t="s">
        <v>41</v>
      </c>
    </row>
    <row r="813" spans="3:20" ht="20.25" customHeight="1">
      <c r="C813" s="109"/>
      <c r="D813" s="115">
        <f t="shared" si="217"/>
        <v>813</v>
      </c>
      <c r="E813" s="119" t="s">
        <v>216</v>
      </c>
      <c r="F813" s="121">
        <f t="shared" si="248"/>
        <v>812</v>
      </c>
      <c r="G813" s="118" t="s">
        <v>217</v>
      </c>
      <c r="H813" s="118"/>
      <c r="I813" s="117"/>
      <c r="J813" s="117"/>
      <c r="K813" s="131">
        <v>3</v>
      </c>
      <c r="L813" s="131" t="s">
        <v>81</v>
      </c>
      <c r="M813" s="132">
        <v>1</v>
      </c>
      <c r="N813" s="117" t="s">
        <v>160</v>
      </c>
      <c r="O813" s="133">
        <v>1</v>
      </c>
      <c r="P813" s="117" t="s">
        <v>41</v>
      </c>
      <c r="Q813" s="163">
        <f t="shared" si="250"/>
        <v>1</v>
      </c>
      <c r="R813" s="161"/>
      <c r="S813" s="163">
        <f t="shared" si="251"/>
        <v>1</v>
      </c>
      <c r="T813" s="162" t="s">
        <v>41</v>
      </c>
    </row>
    <row r="814" spans="3:20" ht="20.25" customHeight="1">
      <c r="C814" s="109">
        <f>D814</f>
        <v>814</v>
      </c>
      <c r="D814" s="115">
        <f t="shared" si="217"/>
        <v>814</v>
      </c>
      <c r="E814" s="116" t="s">
        <v>218</v>
      </c>
      <c r="F814" s="121">
        <f>D808</f>
        <v>808</v>
      </c>
      <c r="G814" s="118"/>
      <c r="H814" s="118"/>
      <c r="I814" s="117"/>
      <c r="J814" s="117"/>
      <c r="K814" s="131"/>
      <c r="L814" s="131"/>
      <c r="M814" s="132"/>
      <c r="N814" s="117"/>
      <c r="O814" s="133"/>
      <c r="P814" s="117"/>
      <c r="Q814" s="163"/>
      <c r="R814" s="161"/>
      <c r="S814" s="163"/>
      <c r="T814" s="162"/>
    </row>
    <row r="815" spans="3:20" ht="20.25" customHeight="1">
      <c r="C815" s="109"/>
      <c r="D815" s="115">
        <f t="shared" si="217"/>
        <v>815</v>
      </c>
      <c r="E815" s="119" t="s">
        <v>219</v>
      </c>
      <c r="F815" s="121">
        <f t="shared" ref="F815:F817" si="252">D814</f>
        <v>814</v>
      </c>
      <c r="G815" s="118"/>
      <c r="H815" s="118"/>
      <c r="I815" s="117"/>
      <c r="J815" s="117"/>
      <c r="K815" s="131">
        <v>2</v>
      </c>
      <c r="L815" s="131" t="s">
        <v>81</v>
      </c>
      <c r="M815" s="155">
        <v>1</v>
      </c>
      <c r="N815" s="117" t="s">
        <v>84</v>
      </c>
      <c r="O815" s="133">
        <v>4</v>
      </c>
      <c r="P815" s="117" t="s">
        <v>41</v>
      </c>
      <c r="Q815" s="163">
        <f t="shared" ref="Q815:Q817" si="253">M815*O815</f>
        <v>4</v>
      </c>
      <c r="R815" s="161"/>
      <c r="S815" s="163">
        <f t="shared" ref="S815:S817" si="254">Q815+R815</f>
        <v>4</v>
      </c>
      <c r="T815" s="162" t="s">
        <v>42</v>
      </c>
    </row>
    <row r="816" spans="3:20" ht="20.25" customHeight="1">
      <c r="C816" s="109"/>
      <c r="D816" s="115">
        <f t="shared" si="217"/>
        <v>816</v>
      </c>
      <c r="E816" s="119" t="s">
        <v>220</v>
      </c>
      <c r="F816" s="121">
        <f t="shared" si="252"/>
        <v>815</v>
      </c>
      <c r="G816" s="118" t="s">
        <v>55</v>
      </c>
      <c r="H816" s="118"/>
      <c r="I816" s="117">
        <v>20</v>
      </c>
      <c r="J816" s="117"/>
      <c r="K816" s="131">
        <v>2</v>
      </c>
      <c r="L816" s="131" t="s">
        <v>81</v>
      </c>
      <c r="M816" s="132">
        <v>1</v>
      </c>
      <c r="N816" s="117" t="s">
        <v>84</v>
      </c>
      <c r="O816" s="133">
        <v>1</v>
      </c>
      <c r="P816" s="117" t="s">
        <v>41</v>
      </c>
      <c r="Q816" s="163">
        <f t="shared" si="253"/>
        <v>1</v>
      </c>
      <c r="R816" s="161"/>
      <c r="S816" s="163">
        <f t="shared" si="254"/>
        <v>1</v>
      </c>
      <c r="T816" s="162" t="s">
        <v>42</v>
      </c>
    </row>
    <row r="817" spans="3:20" ht="20.25" customHeight="1">
      <c r="C817" s="109"/>
      <c r="D817" s="115">
        <f t="shared" si="217"/>
        <v>817</v>
      </c>
      <c r="E817" s="119" t="s">
        <v>221</v>
      </c>
      <c r="F817" s="121">
        <f t="shared" si="252"/>
        <v>816</v>
      </c>
      <c r="G817" s="118" t="s">
        <v>55</v>
      </c>
      <c r="H817" s="118"/>
      <c r="I817" s="117"/>
      <c r="J817" s="117"/>
      <c r="K817" s="131">
        <v>2</v>
      </c>
      <c r="L817" s="131" t="s">
        <v>81</v>
      </c>
      <c r="M817" s="132">
        <v>1</v>
      </c>
      <c r="N817" s="117" t="s">
        <v>84</v>
      </c>
      <c r="O817" s="133">
        <v>5</v>
      </c>
      <c r="P817" s="117" t="s">
        <v>41</v>
      </c>
      <c r="Q817" s="163">
        <f t="shared" si="253"/>
        <v>5</v>
      </c>
      <c r="R817" s="161"/>
      <c r="S817" s="163">
        <f t="shared" si="254"/>
        <v>5</v>
      </c>
      <c r="T817" s="162" t="s">
        <v>42</v>
      </c>
    </row>
    <row r="818" spans="3:20" ht="20.25" customHeight="1">
      <c r="C818" s="109">
        <f>D818</f>
        <v>818</v>
      </c>
      <c r="D818" s="115">
        <f t="shared" si="217"/>
        <v>818</v>
      </c>
      <c r="E818" s="116" t="s">
        <v>222</v>
      </c>
      <c r="F818" s="121">
        <f>D814</f>
        <v>814</v>
      </c>
      <c r="G818" s="118"/>
      <c r="H818" s="118"/>
      <c r="I818" s="117"/>
      <c r="J818" s="117"/>
      <c r="K818" s="131"/>
      <c r="L818" s="131"/>
      <c r="M818" s="132"/>
      <c r="N818" s="117"/>
      <c r="O818" s="133"/>
      <c r="P818" s="117"/>
      <c r="Q818" s="163"/>
      <c r="R818" s="161"/>
      <c r="S818" s="163"/>
      <c r="T818" s="162"/>
    </row>
    <row r="819" spans="3:20" ht="20.25" customHeight="1">
      <c r="C819" s="109"/>
      <c r="D819" s="115">
        <f t="shared" si="217"/>
        <v>819</v>
      </c>
      <c r="E819" s="119" t="s">
        <v>223</v>
      </c>
      <c r="F819" s="121">
        <f t="shared" ref="F819:F820" si="255">D818</f>
        <v>818</v>
      </c>
      <c r="G819" s="118" t="s">
        <v>224</v>
      </c>
      <c r="H819" s="118"/>
      <c r="I819" s="117"/>
      <c r="J819" s="117"/>
      <c r="K819" s="131">
        <v>2</v>
      </c>
      <c r="L819" s="131" t="s">
        <v>81</v>
      </c>
      <c r="M819" s="155">
        <f t="shared" ref="M819:M820" si="256">K819</f>
        <v>2</v>
      </c>
      <c r="N819" s="117" t="s">
        <v>81</v>
      </c>
      <c r="O819" s="133">
        <v>2</v>
      </c>
      <c r="P819" s="117" t="s">
        <v>162</v>
      </c>
      <c r="Q819" s="163">
        <f t="shared" ref="Q819:Q820" si="257">M819*O819</f>
        <v>4</v>
      </c>
      <c r="R819" s="161"/>
      <c r="S819" s="163">
        <f t="shared" ref="S819:S820" si="258">Q819+R819</f>
        <v>4</v>
      </c>
      <c r="T819" s="162" t="s">
        <v>162</v>
      </c>
    </row>
    <row r="820" spans="3:20" ht="20.25" customHeight="1">
      <c r="C820" s="109"/>
      <c r="D820" s="115">
        <f t="shared" si="217"/>
        <v>820</v>
      </c>
      <c r="E820" s="119" t="s">
        <v>225</v>
      </c>
      <c r="F820" s="121">
        <f t="shared" si="255"/>
        <v>819</v>
      </c>
      <c r="G820" s="118" t="s">
        <v>44</v>
      </c>
      <c r="H820" s="118"/>
      <c r="I820" s="117"/>
      <c r="J820" s="117"/>
      <c r="K820" s="131">
        <v>2</v>
      </c>
      <c r="L820" s="131" t="s">
        <v>81</v>
      </c>
      <c r="M820" s="155">
        <f t="shared" si="256"/>
        <v>2</v>
      </c>
      <c r="N820" s="117" t="s">
        <v>81</v>
      </c>
      <c r="O820" s="133">
        <v>0.5</v>
      </c>
      <c r="P820" s="117" t="s">
        <v>162</v>
      </c>
      <c r="Q820" s="163">
        <f t="shared" si="257"/>
        <v>1</v>
      </c>
      <c r="R820" s="161"/>
      <c r="S820" s="163">
        <f t="shared" si="258"/>
        <v>1</v>
      </c>
      <c r="T820" s="162" t="s">
        <v>162</v>
      </c>
    </row>
    <row r="821" spans="3:20" ht="20.25" customHeight="1">
      <c r="C821" s="109">
        <f>D821</f>
        <v>821</v>
      </c>
      <c r="D821" s="115">
        <f t="shared" si="217"/>
        <v>821</v>
      </c>
      <c r="E821" s="116" t="s">
        <v>226</v>
      </c>
      <c r="F821" s="121">
        <f>D818</f>
        <v>818</v>
      </c>
      <c r="G821" s="118"/>
      <c r="H821" s="118"/>
      <c r="I821" s="117"/>
      <c r="J821" s="117"/>
      <c r="K821" s="131"/>
      <c r="L821" s="131"/>
      <c r="M821" s="132"/>
      <c r="N821" s="117"/>
      <c r="O821" s="133"/>
      <c r="P821" s="117"/>
      <c r="Q821" s="163"/>
      <c r="R821" s="161"/>
      <c r="S821" s="163"/>
      <c r="T821" s="162"/>
    </row>
    <row r="822" spans="3:20" ht="20.25" customHeight="1">
      <c r="C822" s="109"/>
      <c r="D822" s="115">
        <f t="shared" si="217"/>
        <v>822</v>
      </c>
      <c r="E822" s="119" t="s">
        <v>227</v>
      </c>
      <c r="F822" s="121">
        <f t="shared" ref="F822" si="259">D821</f>
        <v>821</v>
      </c>
      <c r="G822" s="118" t="s">
        <v>55</v>
      </c>
      <c r="H822" s="118"/>
      <c r="I822" s="117" t="s">
        <v>228</v>
      </c>
      <c r="J822" s="117"/>
      <c r="K822" s="131">
        <v>1</v>
      </c>
      <c r="L822" s="131" t="s">
        <v>206</v>
      </c>
      <c r="M822" s="132">
        <v>1</v>
      </c>
      <c r="N822" s="117" t="s">
        <v>84</v>
      </c>
      <c r="O822" s="133">
        <v>10</v>
      </c>
      <c r="P822" s="117" t="s">
        <v>41</v>
      </c>
      <c r="Q822" s="163">
        <f t="shared" ref="Q822" si="260">M822*O822</f>
        <v>10</v>
      </c>
      <c r="R822" s="161"/>
      <c r="S822" s="163">
        <f t="shared" ref="S822" si="261">Q822+R822</f>
        <v>10</v>
      </c>
      <c r="T822" s="162"/>
    </row>
    <row r="823" spans="3:20" ht="20.25" customHeight="1">
      <c r="C823" s="109">
        <f>D823</f>
        <v>823</v>
      </c>
      <c r="D823" s="115">
        <f t="shared" si="217"/>
        <v>823</v>
      </c>
      <c r="E823" s="116" t="s">
        <v>229</v>
      </c>
      <c r="F823" s="121">
        <f>D821</f>
        <v>821</v>
      </c>
      <c r="G823" s="118"/>
      <c r="H823" s="118"/>
      <c r="I823" s="117"/>
      <c r="J823" s="117"/>
      <c r="K823" s="131"/>
      <c r="L823" s="131"/>
      <c r="M823" s="132"/>
      <c r="N823" s="117"/>
      <c r="O823" s="133"/>
      <c r="P823" s="117"/>
      <c r="Q823" s="163"/>
      <c r="R823" s="161"/>
      <c r="S823" s="163"/>
      <c r="T823" s="162"/>
    </row>
    <row r="824" spans="3:20" ht="20.25" customHeight="1">
      <c r="C824" s="109"/>
      <c r="D824" s="115">
        <f t="shared" si="217"/>
        <v>824</v>
      </c>
      <c r="E824" s="119" t="s">
        <v>230</v>
      </c>
      <c r="F824" s="121">
        <f t="shared" ref="F824:F825" si="262">D823</f>
        <v>823</v>
      </c>
      <c r="G824" s="118" t="s">
        <v>44</v>
      </c>
      <c r="H824" s="118"/>
      <c r="I824" s="117"/>
      <c r="J824" s="117"/>
      <c r="K824" s="131">
        <v>1</v>
      </c>
      <c r="L824" s="131" t="s">
        <v>206</v>
      </c>
      <c r="M824" s="132">
        <v>1</v>
      </c>
      <c r="N824" s="117" t="s">
        <v>206</v>
      </c>
      <c r="O824" s="133">
        <v>3</v>
      </c>
      <c r="P824" s="117" t="s">
        <v>48</v>
      </c>
      <c r="Q824" s="163">
        <f t="shared" ref="Q824:Q825" si="263">M824*O824</f>
        <v>3</v>
      </c>
      <c r="R824" s="161"/>
      <c r="S824" s="163">
        <f t="shared" ref="S824:S825" si="264">Q824+R824</f>
        <v>3</v>
      </c>
      <c r="T824" s="162" t="s">
        <v>48</v>
      </c>
    </row>
    <row r="825" spans="3:20" ht="20.25" customHeight="1">
      <c r="C825" s="109"/>
      <c r="D825" s="115">
        <f t="shared" si="217"/>
        <v>825</v>
      </c>
      <c r="E825" s="119" t="s">
        <v>231</v>
      </c>
      <c r="F825" s="121">
        <f t="shared" si="262"/>
        <v>824</v>
      </c>
      <c r="G825" s="118" t="s">
        <v>63</v>
      </c>
      <c r="H825" s="118"/>
      <c r="I825" s="117"/>
      <c r="J825" s="117"/>
      <c r="K825" s="131">
        <v>2</v>
      </c>
      <c r="L825" s="131" t="s">
        <v>232</v>
      </c>
      <c r="M825" s="155">
        <f>1308*2*1</f>
        <v>2616</v>
      </c>
      <c r="N825" s="117" t="s">
        <v>210</v>
      </c>
      <c r="O825" s="175">
        <f>1/100</f>
        <v>0.01</v>
      </c>
      <c r="P825" s="117"/>
      <c r="Q825" s="163">
        <f t="shared" si="263"/>
        <v>26.16</v>
      </c>
      <c r="R825" s="161"/>
      <c r="S825" s="163">
        <f t="shared" si="264"/>
        <v>26.16</v>
      </c>
      <c r="T825" s="162"/>
    </row>
    <row r="826" spans="3:20" ht="20.25" customHeight="1">
      <c r="C826" s="109">
        <f>D826</f>
        <v>826</v>
      </c>
      <c r="D826" s="115">
        <f t="shared" si="217"/>
        <v>826</v>
      </c>
      <c r="E826" s="116" t="s">
        <v>233</v>
      </c>
      <c r="F826" s="121">
        <f>D641</f>
        <v>641</v>
      </c>
      <c r="G826" s="118"/>
      <c r="H826" s="118"/>
      <c r="I826" s="117"/>
      <c r="J826" s="117"/>
      <c r="K826" s="131"/>
      <c r="L826" s="131"/>
      <c r="M826" s="132"/>
      <c r="N826" s="117"/>
      <c r="O826" s="133"/>
      <c r="P826" s="117"/>
      <c r="Q826" s="163"/>
      <c r="R826" s="161"/>
      <c r="S826" s="163"/>
      <c r="T826" s="162"/>
    </row>
    <row r="827" spans="3:20" ht="20.25" customHeight="1">
      <c r="C827" s="109"/>
      <c r="D827" s="115">
        <f t="shared" si="217"/>
        <v>827</v>
      </c>
      <c r="E827" s="119" t="s">
        <v>234</v>
      </c>
      <c r="F827" s="121">
        <f t="shared" ref="F827:F830" si="265">D826</f>
        <v>826</v>
      </c>
      <c r="G827" s="118"/>
      <c r="H827" s="118"/>
      <c r="I827" s="117"/>
      <c r="J827" s="117"/>
      <c r="K827" s="131">
        <v>1</v>
      </c>
      <c r="L827" s="131" t="s">
        <v>81</v>
      </c>
      <c r="M827" s="155">
        <f t="shared" ref="M827:M830" si="266">K827</f>
        <v>1</v>
      </c>
      <c r="N827" s="117" t="s">
        <v>84</v>
      </c>
      <c r="O827" s="133">
        <v>4</v>
      </c>
      <c r="P827" s="117" t="s">
        <v>41</v>
      </c>
      <c r="Q827" s="163">
        <f t="shared" ref="Q827:Q830" si="267">M827*O827</f>
        <v>4</v>
      </c>
      <c r="R827" s="161"/>
      <c r="S827" s="163">
        <f t="shared" ref="S827:S830" si="268">Q827+R827</f>
        <v>4</v>
      </c>
      <c r="T827" s="162" t="s">
        <v>41</v>
      </c>
    </row>
    <row r="828" spans="3:20" ht="20.25" customHeight="1">
      <c r="C828" s="109"/>
      <c r="D828" s="115">
        <f t="shared" si="217"/>
        <v>828</v>
      </c>
      <c r="E828" s="119" t="s">
        <v>235</v>
      </c>
      <c r="F828" s="121">
        <f t="shared" si="265"/>
        <v>827</v>
      </c>
      <c r="G828" s="118" t="s">
        <v>44</v>
      </c>
      <c r="H828" s="118"/>
      <c r="I828" s="117"/>
      <c r="J828" s="117"/>
      <c r="K828" s="131">
        <v>22</v>
      </c>
      <c r="L828" s="131" t="s">
        <v>81</v>
      </c>
      <c r="M828" s="132">
        <f t="shared" si="266"/>
        <v>22</v>
      </c>
      <c r="N828" s="117" t="s">
        <v>236</v>
      </c>
      <c r="O828" s="133">
        <v>0.25</v>
      </c>
      <c r="P828" s="117" t="s">
        <v>162</v>
      </c>
      <c r="Q828" s="163">
        <f t="shared" si="267"/>
        <v>5.5</v>
      </c>
      <c r="R828" s="161"/>
      <c r="S828" s="163">
        <f t="shared" si="268"/>
        <v>5.5</v>
      </c>
      <c r="T828" s="162" t="s">
        <v>48</v>
      </c>
    </row>
    <row r="829" spans="3:20" ht="20.25" customHeight="1">
      <c r="C829" s="109"/>
      <c r="D829" s="115">
        <f t="shared" si="217"/>
        <v>829</v>
      </c>
      <c r="E829" s="119" t="s">
        <v>237</v>
      </c>
      <c r="F829" s="121">
        <f t="shared" si="265"/>
        <v>828</v>
      </c>
      <c r="G829" s="118" t="s">
        <v>238</v>
      </c>
      <c r="H829" s="118"/>
      <c r="I829" s="117"/>
      <c r="J829" s="117"/>
      <c r="K829" s="131">
        <v>22</v>
      </c>
      <c r="L829" s="131" t="s">
        <v>81</v>
      </c>
      <c r="M829" s="132">
        <f t="shared" si="266"/>
        <v>22</v>
      </c>
      <c r="N829" s="117" t="s">
        <v>81</v>
      </c>
      <c r="O829" s="133">
        <v>0.45</v>
      </c>
      <c r="P829" s="117" t="s">
        <v>162</v>
      </c>
      <c r="Q829" s="163">
        <f t="shared" si="267"/>
        <v>9.9</v>
      </c>
      <c r="R829" s="161"/>
      <c r="S829" s="163">
        <f t="shared" si="268"/>
        <v>9.9</v>
      </c>
      <c r="T829" s="162" t="s">
        <v>750</v>
      </c>
    </row>
    <row r="830" spans="3:20" ht="20.25" customHeight="1">
      <c r="C830" s="109"/>
      <c r="D830" s="115">
        <f t="shared" si="217"/>
        <v>830</v>
      </c>
      <c r="E830" s="119" t="s">
        <v>239</v>
      </c>
      <c r="F830" s="121">
        <f t="shared" si="265"/>
        <v>829</v>
      </c>
      <c r="G830" s="118" t="s">
        <v>240</v>
      </c>
      <c r="H830" s="118"/>
      <c r="I830" s="117"/>
      <c r="J830" s="117"/>
      <c r="K830" s="131">
        <v>22</v>
      </c>
      <c r="L830" s="131" t="s">
        <v>81</v>
      </c>
      <c r="M830" s="132">
        <f t="shared" si="266"/>
        <v>22</v>
      </c>
      <c r="N830" s="117" t="s">
        <v>81</v>
      </c>
      <c r="O830" s="133">
        <v>0.5</v>
      </c>
      <c r="P830" s="117" t="s">
        <v>162</v>
      </c>
      <c r="Q830" s="163">
        <f t="shared" si="267"/>
        <v>11</v>
      </c>
      <c r="R830" s="161"/>
      <c r="S830" s="163">
        <f t="shared" si="268"/>
        <v>11</v>
      </c>
      <c r="T830" s="162" t="s">
        <v>48</v>
      </c>
    </row>
    <row r="831" spans="3:20" ht="20.25" customHeight="1">
      <c r="C831" s="109">
        <f>D831</f>
        <v>831</v>
      </c>
      <c r="D831" s="115">
        <f t="shared" si="217"/>
        <v>831</v>
      </c>
      <c r="E831" s="116" t="s">
        <v>241</v>
      </c>
      <c r="F831" s="121">
        <f>D640</f>
        <v>640</v>
      </c>
      <c r="G831" s="118"/>
      <c r="H831" s="118"/>
      <c r="I831" s="117"/>
      <c r="J831" s="117"/>
      <c r="K831" s="131"/>
      <c r="L831" s="131"/>
      <c r="M831" s="132"/>
      <c r="N831" s="117"/>
      <c r="O831" s="133"/>
      <c r="P831" s="117"/>
      <c r="Q831" s="163"/>
      <c r="R831" s="161"/>
      <c r="S831" s="163"/>
      <c r="T831" s="162"/>
    </row>
    <row r="832" spans="3:20" ht="20.25" customHeight="1">
      <c r="C832" s="109"/>
      <c r="D832" s="115">
        <f t="shared" si="217"/>
        <v>832</v>
      </c>
      <c r="E832" s="119" t="s">
        <v>242</v>
      </c>
      <c r="F832" s="121">
        <f t="shared" ref="F832:F835" si="269">D831</f>
        <v>831</v>
      </c>
      <c r="G832" s="118"/>
      <c r="H832" s="118"/>
      <c r="I832" s="117"/>
      <c r="J832" s="117"/>
      <c r="K832" s="131">
        <v>1</v>
      </c>
      <c r="L832" s="131" t="s">
        <v>81</v>
      </c>
      <c r="M832" s="155">
        <f t="shared" ref="M832:M835" si="270">K832</f>
        <v>1</v>
      </c>
      <c r="N832" s="117" t="s">
        <v>84</v>
      </c>
      <c r="O832" s="133">
        <v>4</v>
      </c>
      <c r="P832" s="117" t="s">
        <v>41</v>
      </c>
      <c r="Q832" s="163">
        <f t="shared" ref="Q832:Q835" si="271">M832*O832</f>
        <v>4</v>
      </c>
      <c r="R832" s="161"/>
      <c r="S832" s="163">
        <f t="shared" ref="S832:S835" si="272">Q832+R832</f>
        <v>4</v>
      </c>
      <c r="T832" s="162" t="s">
        <v>48</v>
      </c>
    </row>
    <row r="833" spans="3:20" ht="20.25" customHeight="1">
      <c r="C833" s="109"/>
      <c r="D833" s="115">
        <f t="shared" si="217"/>
        <v>833</v>
      </c>
      <c r="E833" s="119" t="s">
        <v>243</v>
      </c>
      <c r="F833" s="121">
        <f t="shared" si="269"/>
        <v>832</v>
      </c>
      <c r="G833" s="118" t="s">
        <v>44</v>
      </c>
      <c r="H833" s="118"/>
      <c r="I833" s="117"/>
      <c r="J833" s="117"/>
      <c r="K833" s="131">
        <v>414</v>
      </c>
      <c r="L833" s="131" t="s">
        <v>81</v>
      </c>
      <c r="M833" s="132">
        <f t="shared" si="270"/>
        <v>414</v>
      </c>
      <c r="N833" s="117" t="s">
        <v>236</v>
      </c>
      <c r="O833" s="133">
        <v>0.1</v>
      </c>
      <c r="P833" s="117" t="s">
        <v>162</v>
      </c>
      <c r="Q833" s="163">
        <f t="shared" si="271"/>
        <v>41.400000000000006</v>
      </c>
      <c r="R833" s="161"/>
      <c r="S833" s="163">
        <f t="shared" si="272"/>
        <v>41.400000000000006</v>
      </c>
      <c r="T833" s="162" t="s">
        <v>48</v>
      </c>
    </row>
    <row r="834" spans="3:20" ht="20.25" customHeight="1">
      <c r="C834" s="109"/>
      <c r="D834" s="115">
        <f t="shared" si="217"/>
        <v>834</v>
      </c>
      <c r="E834" s="119" t="s">
        <v>244</v>
      </c>
      <c r="F834" s="121">
        <f t="shared" si="269"/>
        <v>833</v>
      </c>
      <c r="G834" s="118" t="s">
        <v>238</v>
      </c>
      <c r="H834" s="118"/>
      <c r="I834" s="117"/>
      <c r="J834" s="117"/>
      <c r="K834" s="131">
        <v>414</v>
      </c>
      <c r="L834" s="131" t="s">
        <v>81</v>
      </c>
      <c r="M834" s="132">
        <f t="shared" si="270"/>
        <v>414</v>
      </c>
      <c r="N834" s="117" t="s">
        <v>236</v>
      </c>
      <c r="O834" s="133">
        <v>0.1</v>
      </c>
      <c r="P834" s="117" t="s">
        <v>162</v>
      </c>
      <c r="Q834" s="163">
        <f t="shared" si="271"/>
        <v>41.400000000000006</v>
      </c>
      <c r="R834" s="161"/>
      <c r="S834" s="163">
        <f t="shared" si="272"/>
        <v>41.400000000000006</v>
      </c>
      <c r="T834" s="162" t="s">
        <v>48</v>
      </c>
    </row>
    <row r="835" spans="3:20" ht="20.25" customHeight="1">
      <c r="C835" s="109"/>
      <c r="D835" s="115">
        <f t="shared" si="217"/>
        <v>835</v>
      </c>
      <c r="E835" s="119" t="s">
        <v>245</v>
      </c>
      <c r="F835" s="121">
        <f t="shared" si="269"/>
        <v>834</v>
      </c>
      <c r="G835" s="118" t="s">
        <v>217</v>
      </c>
      <c r="H835" s="118"/>
      <c r="I835" s="117"/>
      <c r="J835" s="117"/>
      <c r="K835" s="131">
        <v>414</v>
      </c>
      <c r="L835" s="131" t="s">
        <v>81</v>
      </c>
      <c r="M835" s="132">
        <f t="shared" si="270"/>
        <v>414</v>
      </c>
      <c r="N835" s="117" t="s">
        <v>81</v>
      </c>
      <c r="O835" s="175">
        <f>1/60</f>
        <v>1.6666666666666666E-2</v>
      </c>
      <c r="P835" s="117" t="s">
        <v>162</v>
      </c>
      <c r="Q835" s="163">
        <f t="shared" si="271"/>
        <v>6.8999999999999995</v>
      </c>
      <c r="R835" s="161"/>
      <c r="S835" s="163">
        <f t="shared" si="272"/>
        <v>6.8999999999999995</v>
      </c>
      <c r="T835" s="162" t="s">
        <v>48</v>
      </c>
    </row>
    <row r="836" spans="3:20" ht="20.25" customHeight="1">
      <c r="C836" s="109">
        <f>D836</f>
        <v>836</v>
      </c>
      <c r="D836" s="115">
        <f t="shared" ref="D836:D899" si="273">D835+1</f>
        <v>836</v>
      </c>
      <c r="E836" s="116" t="s">
        <v>246</v>
      </c>
      <c r="F836" s="121">
        <f>D635</f>
        <v>635</v>
      </c>
      <c r="G836" s="118"/>
      <c r="H836" s="118"/>
      <c r="I836" s="117"/>
      <c r="J836" s="117"/>
      <c r="K836" s="131"/>
      <c r="L836" s="131"/>
      <c r="M836" s="132"/>
      <c r="N836" s="117"/>
      <c r="O836" s="133"/>
      <c r="P836" s="117"/>
      <c r="Q836" s="163"/>
      <c r="R836" s="161"/>
      <c r="S836" s="163"/>
      <c r="T836" s="162"/>
    </row>
    <row r="837" spans="3:20" ht="20.25" customHeight="1">
      <c r="C837" s="109"/>
      <c r="D837" s="115">
        <f t="shared" si="273"/>
        <v>837</v>
      </c>
      <c r="E837" s="119" t="s">
        <v>247</v>
      </c>
      <c r="F837" s="121">
        <f t="shared" ref="F837:F842" si="274">D836</f>
        <v>836</v>
      </c>
      <c r="G837" s="118" t="s">
        <v>44</v>
      </c>
      <c r="H837" s="118"/>
      <c r="I837" s="117">
        <v>8</v>
      </c>
      <c r="J837" s="117" t="s">
        <v>248</v>
      </c>
      <c r="K837" s="131">
        <v>2</v>
      </c>
      <c r="L837" s="131" t="s">
        <v>81</v>
      </c>
      <c r="M837" s="141">
        <f>LEFT(J837,SEARCH(" ",J837,1)-1)*K837*0.001</f>
        <v>19.044</v>
      </c>
      <c r="N837" s="117" t="s">
        <v>249</v>
      </c>
      <c r="O837" s="175">
        <f>VLOOKUP(I837,BM!$A$2:$X$104,2,FALSE)</f>
        <v>0.1</v>
      </c>
      <c r="P837" s="117" t="s">
        <v>162</v>
      </c>
      <c r="Q837" s="163">
        <f t="shared" ref="Q837:Q842" si="275">M837*O837</f>
        <v>1.9044000000000001</v>
      </c>
      <c r="R837" s="161"/>
      <c r="S837" s="163">
        <f t="shared" ref="S837:S842" si="276">Q837+R837</f>
        <v>1.9044000000000001</v>
      </c>
      <c r="T837" s="162" t="s">
        <v>48</v>
      </c>
    </row>
    <row r="838" spans="3:20" ht="20.25" customHeight="1">
      <c r="C838" s="109"/>
      <c r="D838" s="115">
        <f t="shared" si="273"/>
        <v>838</v>
      </c>
      <c r="E838" s="119" t="s">
        <v>250</v>
      </c>
      <c r="F838" s="121">
        <f t="shared" si="274"/>
        <v>837</v>
      </c>
      <c r="G838" s="118" t="s">
        <v>52</v>
      </c>
      <c r="H838" s="118"/>
      <c r="I838" s="117">
        <v>25</v>
      </c>
      <c r="J838" s="117" t="str">
        <f t="shared" ref="J838:J842" si="277">J837</f>
        <v>9522 mm</v>
      </c>
      <c r="K838" s="131">
        <v>2</v>
      </c>
      <c r="L838" s="131" t="s">
        <v>81</v>
      </c>
      <c r="M838" s="141">
        <f>LEFT(J838,SEARCH(" ",J838,1)-1)*K838*0.001</f>
        <v>19.044</v>
      </c>
      <c r="N838" s="117" t="s">
        <v>249</v>
      </c>
      <c r="O838" s="175">
        <f>VLOOKUP(I838,BM!$A$2:$X$104,3,FALSE)</f>
        <v>0.25</v>
      </c>
      <c r="P838" s="117" t="s">
        <v>162</v>
      </c>
      <c r="Q838" s="163">
        <f t="shared" si="275"/>
        <v>4.7610000000000001</v>
      </c>
      <c r="R838" s="161"/>
      <c r="S838" s="163">
        <f t="shared" si="276"/>
        <v>4.7610000000000001</v>
      </c>
      <c r="T838" s="162" t="s">
        <v>48</v>
      </c>
    </row>
    <row r="839" spans="3:20" ht="20.25" customHeight="1">
      <c r="C839" s="109"/>
      <c r="D839" s="115">
        <f t="shared" si="273"/>
        <v>839</v>
      </c>
      <c r="E839" s="119" t="s">
        <v>251</v>
      </c>
      <c r="F839" s="121">
        <f t="shared" si="274"/>
        <v>838</v>
      </c>
      <c r="G839" s="118" t="s">
        <v>201</v>
      </c>
      <c r="H839" s="118"/>
      <c r="I839" s="117">
        <v>25</v>
      </c>
      <c r="J839" s="117" t="str">
        <f t="shared" si="277"/>
        <v>9522 mm</v>
      </c>
      <c r="K839" s="131">
        <v>2</v>
      </c>
      <c r="L839" s="131" t="s">
        <v>81</v>
      </c>
      <c r="M839" s="155">
        <f>K839</f>
        <v>2</v>
      </c>
      <c r="N839" s="117" t="s">
        <v>81</v>
      </c>
      <c r="O839" s="133">
        <v>2</v>
      </c>
      <c r="P839" s="117" t="s">
        <v>162</v>
      </c>
      <c r="Q839" s="163">
        <f t="shared" si="275"/>
        <v>4</v>
      </c>
      <c r="R839" s="161"/>
      <c r="S839" s="163">
        <f t="shared" si="276"/>
        <v>4</v>
      </c>
      <c r="T839" s="162" t="s">
        <v>48</v>
      </c>
    </row>
    <row r="840" spans="3:20" ht="20.25" customHeight="1">
      <c r="C840" s="109"/>
      <c r="D840" s="115">
        <f t="shared" si="273"/>
        <v>840</v>
      </c>
      <c r="E840" s="119" t="s">
        <v>252</v>
      </c>
      <c r="F840" s="121">
        <f t="shared" si="274"/>
        <v>839</v>
      </c>
      <c r="G840" s="118" t="s">
        <v>61</v>
      </c>
      <c r="H840" s="118"/>
      <c r="I840" s="117">
        <v>25</v>
      </c>
      <c r="J840" s="117" t="str">
        <f t="shared" si="277"/>
        <v>9522 mm</v>
      </c>
      <c r="K840" s="131">
        <v>2</v>
      </c>
      <c r="L840" s="131" t="s">
        <v>81</v>
      </c>
      <c r="M840" s="132">
        <v>4</v>
      </c>
      <c r="N840" s="117" t="s">
        <v>81</v>
      </c>
      <c r="O840" s="133">
        <v>4</v>
      </c>
      <c r="P840" s="117" t="s">
        <v>162</v>
      </c>
      <c r="Q840" s="163">
        <f t="shared" si="275"/>
        <v>16</v>
      </c>
      <c r="R840" s="161"/>
      <c r="S840" s="163">
        <f t="shared" si="276"/>
        <v>16</v>
      </c>
      <c r="T840" s="162" t="s">
        <v>48</v>
      </c>
    </row>
    <row r="841" spans="3:20" ht="20.25" customHeight="1">
      <c r="C841" s="109"/>
      <c r="D841" s="115">
        <f t="shared" si="273"/>
        <v>841</v>
      </c>
      <c r="E841" s="119" t="s">
        <v>253</v>
      </c>
      <c r="F841" s="121">
        <f t="shared" si="274"/>
        <v>840</v>
      </c>
      <c r="G841" s="118" t="s">
        <v>240</v>
      </c>
      <c r="H841" s="118"/>
      <c r="I841" s="117">
        <v>25</v>
      </c>
      <c r="J841" s="117" t="str">
        <f t="shared" si="277"/>
        <v>9522 mm</v>
      </c>
      <c r="K841" s="131">
        <v>2</v>
      </c>
      <c r="L841" s="131" t="s">
        <v>81</v>
      </c>
      <c r="M841" s="132">
        <v>4</v>
      </c>
      <c r="N841" s="117" t="s">
        <v>81</v>
      </c>
      <c r="O841" s="133">
        <v>1</v>
      </c>
      <c r="P841" s="117" t="s">
        <v>162</v>
      </c>
      <c r="Q841" s="163">
        <f t="shared" si="275"/>
        <v>4</v>
      </c>
      <c r="R841" s="161"/>
      <c r="S841" s="163">
        <f t="shared" si="276"/>
        <v>4</v>
      </c>
      <c r="T841" s="162" t="s">
        <v>48</v>
      </c>
    </row>
    <row r="842" spans="3:20" ht="20.25" customHeight="1">
      <c r="C842" s="109"/>
      <c r="D842" s="115">
        <f t="shared" si="273"/>
        <v>842</v>
      </c>
      <c r="E842" s="119" t="s">
        <v>254</v>
      </c>
      <c r="F842" s="121">
        <f t="shared" si="274"/>
        <v>841</v>
      </c>
      <c r="G842" s="118" t="s">
        <v>61</v>
      </c>
      <c r="H842" s="118"/>
      <c r="I842" s="117">
        <v>25</v>
      </c>
      <c r="J842" s="117" t="str">
        <f t="shared" si="277"/>
        <v>9522 mm</v>
      </c>
      <c r="K842" s="131">
        <v>2</v>
      </c>
      <c r="L842" s="131" t="s">
        <v>81</v>
      </c>
      <c r="M842" s="132">
        <v>4</v>
      </c>
      <c r="N842" s="117" t="s">
        <v>81</v>
      </c>
      <c r="O842" s="133">
        <v>1</v>
      </c>
      <c r="P842" s="117" t="s">
        <v>162</v>
      </c>
      <c r="Q842" s="163">
        <f t="shared" si="275"/>
        <v>4</v>
      </c>
      <c r="R842" s="161"/>
      <c r="S842" s="163">
        <f t="shared" si="276"/>
        <v>4</v>
      </c>
      <c r="T842" s="162" t="s">
        <v>48</v>
      </c>
    </row>
    <row r="843" spans="3:20" ht="20.25" customHeight="1">
      <c r="C843" s="109">
        <f>D843</f>
        <v>843</v>
      </c>
      <c r="D843" s="115">
        <f t="shared" si="273"/>
        <v>843</v>
      </c>
      <c r="E843" s="116" t="s">
        <v>255</v>
      </c>
      <c r="F843" s="121">
        <f>D636</f>
        <v>636</v>
      </c>
      <c r="G843" s="118"/>
      <c r="H843" s="118"/>
      <c r="I843" s="117"/>
      <c r="J843" s="117"/>
      <c r="K843" s="131"/>
      <c r="L843" s="131"/>
      <c r="M843" s="132"/>
      <c r="N843" s="117"/>
      <c r="O843" s="133"/>
      <c r="P843" s="117"/>
      <c r="Q843" s="163"/>
      <c r="R843" s="161"/>
      <c r="S843" s="163"/>
      <c r="T843" s="162"/>
    </row>
    <row r="844" spans="3:20" ht="20.25" customHeight="1">
      <c r="C844" s="109"/>
      <c r="D844" s="115">
        <f t="shared" si="273"/>
        <v>844</v>
      </c>
      <c r="E844" s="119" t="s">
        <v>256</v>
      </c>
      <c r="F844" s="121">
        <f t="shared" ref="F844:F849" si="278">D843</f>
        <v>843</v>
      </c>
      <c r="G844" s="118" t="s">
        <v>44</v>
      </c>
      <c r="H844" s="118"/>
      <c r="I844" s="117">
        <v>8</v>
      </c>
      <c r="J844" s="117" t="s">
        <v>257</v>
      </c>
      <c r="K844" s="131">
        <v>2</v>
      </c>
      <c r="L844" s="131" t="s">
        <v>81</v>
      </c>
      <c r="M844" s="141">
        <f>LEFT(J844,SEARCH(" ",J844,1)-1)*K844*0.001</f>
        <v>26.731999999999999</v>
      </c>
      <c r="N844" s="117" t="s">
        <v>249</v>
      </c>
      <c r="O844" s="175">
        <f>VLOOKUP(I844,BM!$A$2:$X$104,2,FALSE)</f>
        <v>0.1</v>
      </c>
      <c r="P844" s="117" t="s">
        <v>162</v>
      </c>
      <c r="Q844" s="163">
        <f t="shared" ref="Q844:Q849" si="279">M844*O844</f>
        <v>2.6732</v>
      </c>
      <c r="R844" s="161"/>
      <c r="S844" s="163">
        <f t="shared" ref="S844:S849" si="280">Q844+R844</f>
        <v>2.6732</v>
      </c>
      <c r="T844" s="162" t="s">
        <v>48</v>
      </c>
    </row>
    <row r="845" spans="3:20" ht="20.25" customHeight="1">
      <c r="C845" s="109"/>
      <c r="D845" s="115">
        <f t="shared" si="273"/>
        <v>845</v>
      </c>
      <c r="E845" s="119" t="s">
        <v>258</v>
      </c>
      <c r="F845" s="121">
        <f t="shared" si="278"/>
        <v>844</v>
      </c>
      <c r="G845" s="118" t="s">
        <v>52</v>
      </c>
      <c r="H845" s="118"/>
      <c r="I845" s="121">
        <f t="shared" ref="I845:K845" si="281">I844</f>
        <v>8</v>
      </c>
      <c r="J845" s="121" t="str">
        <f t="shared" si="281"/>
        <v>13366 mm</v>
      </c>
      <c r="K845" s="177">
        <f t="shared" si="281"/>
        <v>2</v>
      </c>
      <c r="L845" s="131" t="s">
        <v>81</v>
      </c>
      <c r="M845" s="141">
        <f>LEFT(J845,SEARCH(" ",J845,1)-1)*K845*0.001</f>
        <v>26.731999999999999</v>
      </c>
      <c r="N845" s="117" t="s">
        <v>249</v>
      </c>
      <c r="O845" s="175">
        <f>VLOOKUP(I845,BM!$A$2:$X$104,3,FALSE)</f>
        <v>0.25</v>
      </c>
      <c r="P845" s="117" t="s">
        <v>162</v>
      </c>
      <c r="Q845" s="163">
        <f t="shared" si="279"/>
        <v>6.6829999999999998</v>
      </c>
      <c r="R845" s="161"/>
      <c r="S845" s="163">
        <f t="shared" si="280"/>
        <v>6.6829999999999998</v>
      </c>
      <c r="T845" s="162" t="s">
        <v>48</v>
      </c>
    </row>
    <row r="846" spans="3:20" ht="20.25" customHeight="1">
      <c r="C846" s="109"/>
      <c r="D846" s="115">
        <f t="shared" si="273"/>
        <v>846</v>
      </c>
      <c r="E846" s="119" t="s">
        <v>259</v>
      </c>
      <c r="F846" s="121">
        <f t="shared" si="278"/>
        <v>845</v>
      </c>
      <c r="G846" s="118" t="s">
        <v>201</v>
      </c>
      <c r="H846" s="118"/>
      <c r="I846" s="121">
        <f t="shared" ref="I846:K846" si="282">I845</f>
        <v>8</v>
      </c>
      <c r="J846" s="121" t="str">
        <f t="shared" si="282"/>
        <v>13366 mm</v>
      </c>
      <c r="K846" s="177">
        <f t="shared" si="282"/>
        <v>2</v>
      </c>
      <c r="L846" s="131" t="s">
        <v>81</v>
      </c>
      <c r="M846" s="155">
        <f>K846</f>
        <v>2</v>
      </c>
      <c r="N846" s="117" t="s">
        <v>81</v>
      </c>
      <c r="O846" s="133">
        <v>2</v>
      </c>
      <c r="P846" s="117" t="s">
        <v>162</v>
      </c>
      <c r="Q846" s="163">
        <f t="shared" si="279"/>
        <v>4</v>
      </c>
      <c r="R846" s="161"/>
      <c r="S846" s="163">
        <f t="shared" si="280"/>
        <v>4</v>
      </c>
      <c r="T846" s="162" t="s">
        <v>48</v>
      </c>
    </row>
    <row r="847" spans="3:20" ht="20.25" customHeight="1">
      <c r="C847" s="109"/>
      <c r="D847" s="115">
        <f t="shared" si="273"/>
        <v>847</v>
      </c>
      <c r="E847" s="119" t="s">
        <v>260</v>
      </c>
      <c r="F847" s="121">
        <f t="shared" si="278"/>
        <v>846</v>
      </c>
      <c r="G847" s="118" t="s">
        <v>61</v>
      </c>
      <c r="H847" s="118"/>
      <c r="I847" s="121">
        <f t="shared" ref="I847:K847" si="283">I846</f>
        <v>8</v>
      </c>
      <c r="J847" s="121" t="str">
        <f t="shared" si="283"/>
        <v>13366 mm</v>
      </c>
      <c r="K847" s="177">
        <f t="shared" si="283"/>
        <v>2</v>
      </c>
      <c r="L847" s="131" t="s">
        <v>81</v>
      </c>
      <c r="M847" s="132">
        <v>4</v>
      </c>
      <c r="N847" s="117" t="s">
        <v>81</v>
      </c>
      <c r="O847" s="133">
        <v>4</v>
      </c>
      <c r="P847" s="117" t="s">
        <v>162</v>
      </c>
      <c r="Q847" s="163">
        <f t="shared" si="279"/>
        <v>16</v>
      </c>
      <c r="R847" s="161"/>
      <c r="S847" s="163">
        <f t="shared" si="280"/>
        <v>16</v>
      </c>
      <c r="T847" s="162" t="s">
        <v>48</v>
      </c>
    </row>
    <row r="848" spans="3:20" ht="20.25" customHeight="1">
      <c r="C848" s="109"/>
      <c r="D848" s="115">
        <f t="shared" si="273"/>
        <v>848</v>
      </c>
      <c r="E848" s="119" t="s">
        <v>261</v>
      </c>
      <c r="F848" s="121">
        <f t="shared" si="278"/>
        <v>847</v>
      </c>
      <c r="G848" s="118" t="s">
        <v>240</v>
      </c>
      <c r="H848" s="118"/>
      <c r="I848" s="121">
        <f t="shared" ref="I848:K848" si="284">I847</f>
        <v>8</v>
      </c>
      <c r="J848" s="121" t="str">
        <f t="shared" si="284"/>
        <v>13366 mm</v>
      </c>
      <c r="K848" s="177">
        <f t="shared" si="284"/>
        <v>2</v>
      </c>
      <c r="L848" s="131" t="s">
        <v>81</v>
      </c>
      <c r="M848" s="132">
        <v>4</v>
      </c>
      <c r="N848" s="117" t="s">
        <v>81</v>
      </c>
      <c r="O848" s="133">
        <v>1</v>
      </c>
      <c r="P848" s="117" t="s">
        <v>162</v>
      </c>
      <c r="Q848" s="163">
        <f t="shared" si="279"/>
        <v>4</v>
      </c>
      <c r="R848" s="161"/>
      <c r="S848" s="163">
        <f t="shared" si="280"/>
        <v>4</v>
      </c>
      <c r="T848" s="162" t="s">
        <v>48</v>
      </c>
    </row>
    <row r="849" spans="3:20" ht="20.25" customHeight="1">
      <c r="C849" s="109"/>
      <c r="D849" s="115">
        <f t="shared" si="273"/>
        <v>849</v>
      </c>
      <c r="E849" s="119" t="s">
        <v>262</v>
      </c>
      <c r="F849" s="121">
        <f t="shared" si="278"/>
        <v>848</v>
      </c>
      <c r="G849" s="118" t="s">
        <v>61</v>
      </c>
      <c r="H849" s="118"/>
      <c r="I849" s="121">
        <f t="shared" ref="I849:K849" si="285">I848</f>
        <v>8</v>
      </c>
      <c r="J849" s="121" t="str">
        <f t="shared" si="285"/>
        <v>13366 mm</v>
      </c>
      <c r="K849" s="177">
        <f t="shared" si="285"/>
        <v>2</v>
      </c>
      <c r="L849" s="131" t="s">
        <v>81</v>
      </c>
      <c r="M849" s="132">
        <v>4</v>
      </c>
      <c r="N849" s="117" t="s">
        <v>81</v>
      </c>
      <c r="O849" s="133">
        <v>1</v>
      </c>
      <c r="P849" s="117" t="s">
        <v>162</v>
      </c>
      <c r="Q849" s="163">
        <f t="shared" si="279"/>
        <v>4</v>
      </c>
      <c r="R849" s="161"/>
      <c r="S849" s="163">
        <f t="shared" si="280"/>
        <v>4</v>
      </c>
      <c r="T849" s="162" t="s">
        <v>48</v>
      </c>
    </row>
    <row r="850" spans="3:20" ht="20.25" customHeight="1">
      <c r="C850" s="109">
        <f>D850</f>
        <v>850</v>
      </c>
      <c r="D850" s="115">
        <f t="shared" si="273"/>
        <v>850</v>
      </c>
      <c r="E850" s="116" t="s">
        <v>263</v>
      </c>
      <c r="F850" s="121">
        <f>D637</f>
        <v>637</v>
      </c>
      <c r="G850" s="118"/>
      <c r="H850" s="118"/>
      <c r="I850" s="117"/>
      <c r="J850" s="117"/>
      <c r="K850" s="131"/>
      <c r="L850" s="131"/>
      <c r="M850" s="132"/>
      <c r="N850" s="117"/>
      <c r="O850" s="133"/>
      <c r="P850" s="117"/>
      <c r="Q850" s="163"/>
      <c r="R850" s="161"/>
      <c r="S850" s="163"/>
      <c r="T850" s="162"/>
    </row>
    <row r="851" spans="3:20" ht="20.25" customHeight="1">
      <c r="C851" s="109"/>
      <c r="D851" s="115">
        <f t="shared" si="273"/>
        <v>851</v>
      </c>
      <c r="E851" s="119" t="s">
        <v>264</v>
      </c>
      <c r="F851" s="121">
        <f t="shared" ref="F851:F855" si="286">D850</f>
        <v>850</v>
      </c>
      <c r="G851" s="118" t="s">
        <v>37</v>
      </c>
      <c r="H851" s="118"/>
      <c r="I851" s="117"/>
      <c r="J851" s="117"/>
      <c r="K851" s="131">
        <v>1</v>
      </c>
      <c r="L851" s="131" t="s">
        <v>84</v>
      </c>
      <c r="M851" s="132">
        <v>1</v>
      </c>
      <c r="N851" s="117"/>
      <c r="O851" s="133">
        <v>4</v>
      </c>
      <c r="P851" s="117" t="s">
        <v>41</v>
      </c>
      <c r="Q851" s="163">
        <f t="shared" ref="Q851:Q854" si="287">M851*O851</f>
        <v>4</v>
      </c>
      <c r="R851" s="161"/>
      <c r="S851" s="163">
        <f t="shared" ref="S851:S854" si="288">Q851+R851</f>
        <v>4</v>
      </c>
      <c r="T851" s="162" t="s">
        <v>42</v>
      </c>
    </row>
    <row r="852" spans="3:20" ht="20.25" customHeight="1">
      <c r="C852" s="109"/>
      <c r="D852" s="115">
        <f t="shared" si="273"/>
        <v>852</v>
      </c>
      <c r="E852" s="119" t="s">
        <v>265</v>
      </c>
      <c r="F852" s="121">
        <f t="shared" si="286"/>
        <v>851</v>
      </c>
      <c r="G852" s="118" t="s">
        <v>44</v>
      </c>
      <c r="H852" s="118"/>
      <c r="I852" s="117" t="s">
        <v>266</v>
      </c>
      <c r="J852" s="121">
        <v>14</v>
      </c>
      <c r="K852" s="131">
        <v>14</v>
      </c>
      <c r="L852" s="131" t="s">
        <v>81</v>
      </c>
      <c r="M852" s="155">
        <f>K852</f>
        <v>14</v>
      </c>
      <c r="N852" s="117" t="s">
        <v>81</v>
      </c>
      <c r="O852" s="133">
        <v>0.25</v>
      </c>
      <c r="P852" s="117" t="s">
        <v>162</v>
      </c>
      <c r="Q852" s="163">
        <f t="shared" si="287"/>
        <v>3.5</v>
      </c>
      <c r="R852" s="161"/>
      <c r="S852" s="163">
        <f t="shared" si="288"/>
        <v>3.5</v>
      </c>
      <c r="T852" s="162" t="s">
        <v>48</v>
      </c>
    </row>
    <row r="853" spans="3:20" ht="20.25" customHeight="1">
      <c r="C853" s="109"/>
      <c r="D853" s="115">
        <f t="shared" si="273"/>
        <v>853</v>
      </c>
      <c r="E853" s="119" t="s">
        <v>267</v>
      </c>
      <c r="F853" s="121">
        <f t="shared" si="286"/>
        <v>852</v>
      </c>
      <c r="G853" s="118" t="s">
        <v>44</v>
      </c>
      <c r="H853" s="118"/>
      <c r="I853" s="121" t="str">
        <f t="shared" ref="I853:K853" si="289">I852</f>
        <v>25.4 dia</v>
      </c>
      <c r="J853" s="121">
        <f t="shared" si="289"/>
        <v>14</v>
      </c>
      <c r="K853" s="177">
        <f t="shared" si="289"/>
        <v>14</v>
      </c>
      <c r="L853" s="131" t="s">
        <v>81</v>
      </c>
      <c r="M853" s="155">
        <f>K853</f>
        <v>14</v>
      </c>
      <c r="N853" s="117" t="s">
        <v>81</v>
      </c>
      <c r="O853" s="133">
        <v>0.5</v>
      </c>
      <c r="P853" s="117" t="s">
        <v>162</v>
      </c>
      <c r="Q853" s="163">
        <f t="shared" si="287"/>
        <v>7</v>
      </c>
      <c r="R853" s="161"/>
      <c r="S853" s="163">
        <f t="shared" si="288"/>
        <v>7</v>
      </c>
      <c r="T853" s="162" t="s">
        <v>48</v>
      </c>
    </row>
    <row r="854" spans="3:20" ht="20.25" customHeight="1">
      <c r="C854" s="109"/>
      <c r="D854" s="115">
        <f t="shared" si="273"/>
        <v>854</v>
      </c>
      <c r="E854" s="119" t="s">
        <v>268</v>
      </c>
      <c r="F854" s="121">
        <f t="shared" si="286"/>
        <v>853</v>
      </c>
      <c r="G854" s="118" t="s">
        <v>201</v>
      </c>
      <c r="H854" s="118"/>
      <c r="I854" s="121" t="str">
        <f t="shared" ref="I854:K854" si="290">I853</f>
        <v>25.4 dia</v>
      </c>
      <c r="J854" s="121">
        <f t="shared" si="290"/>
        <v>14</v>
      </c>
      <c r="K854" s="177">
        <f t="shared" si="290"/>
        <v>14</v>
      </c>
      <c r="L854" s="131" t="s">
        <v>81</v>
      </c>
      <c r="M854" s="155">
        <f>K854</f>
        <v>14</v>
      </c>
      <c r="N854" s="117" t="s">
        <v>81</v>
      </c>
      <c r="O854" s="133">
        <v>1</v>
      </c>
      <c r="P854" s="117" t="s">
        <v>162</v>
      </c>
      <c r="Q854" s="163">
        <f t="shared" si="287"/>
        <v>14</v>
      </c>
      <c r="R854" s="161"/>
      <c r="S854" s="163">
        <f t="shared" si="288"/>
        <v>14</v>
      </c>
      <c r="T854" s="162" t="s">
        <v>48</v>
      </c>
    </row>
    <row r="855" spans="3:20" ht="20.25" customHeight="1">
      <c r="C855" s="109">
        <f t="shared" ref="C855:C856" si="291">D855</f>
        <v>855</v>
      </c>
      <c r="D855" s="115">
        <f t="shared" si="273"/>
        <v>855</v>
      </c>
      <c r="E855" s="178" t="s">
        <v>269</v>
      </c>
      <c r="F855" s="121">
        <f t="shared" si="286"/>
        <v>854</v>
      </c>
      <c r="G855" s="118"/>
      <c r="H855" s="118"/>
      <c r="I855" s="117"/>
      <c r="J855" s="117"/>
      <c r="K855" s="131"/>
      <c r="L855" s="131"/>
      <c r="M855" s="132"/>
      <c r="N855" s="117"/>
      <c r="O855" s="133"/>
      <c r="P855" s="117"/>
      <c r="Q855" s="163"/>
      <c r="R855" s="161"/>
      <c r="S855" s="163"/>
      <c r="T855" s="162"/>
    </row>
    <row r="856" spans="3:20" ht="20.25" customHeight="1">
      <c r="C856" s="109">
        <f t="shared" si="291"/>
        <v>856</v>
      </c>
      <c r="D856" s="115">
        <f t="shared" si="273"/>
        <v>856</v>
      </c>
      <c r="E856" s="116" t="s">
        <v>751</v>
      </c>
      <c r="F856" s="121">
        <f>D622</f>
        <v>622</v>
      </c>
      <c r="G856" s="118"/>
      <c r="H856" s="118"/>
      <c r="I856" s="117"/>
      <c r="J856" s="117"/>
      <c r="K856" s="131"/>
      <c r="L856" s="131"/>
      <c r="M856" s="132"/>
      <c r="N856" s="117"/>
      <c r="O856" s="133"/>
      <c r="P856" s="117"/>
      <c r="Q856" s="163"/>
      <c r="R856" s="161"/>
      <c r="S856" s="163"/>
      <c r="T856" s="162"/>
    </row>
    <row r="857" spans="3:20" ht="20.25" customHeight="1">
      <c r="C857" s="109"/>
      <c r="D857" s="115">
        <f t="shared" si="273"/>
        <v>857</v>
      </c>
      <c r="E857" s="119" t="s">
        <v>271</v>
      </c>
      <c r="F857" s="121">
        <f t="shared" ref="F857:F858" si="292">D856</f>
        <v>856</v>
      </c>
      <c r="G857" s="118" t="s">
        <v>37</v>
      </c>
      <c r="H857" s="118"/>
      <c r="I857" s="117"/>
      <c r="J857" s="117"/>
      <c r="K857" s="131">
        <v>1</v>
      </c>
      <c r="L857" s="131" t="s">
        <v>84</v>
      </c>
      <c r="M857" s="132">
        <v>1</v>
      </c>
      <c r="N857" s="117"/>
      <c r="O857" s="133">
        <v>4</v>
      </c>
      <c r="P857" s="117" t="s">
        <v>41</v>
      </c>
      <c r="Q857" s="163">
        <f t="shared" ref="Q857:Q858" si="293">M857*O857</f>
        <v>4</v>
      </c>
      <c r="R857" s="161"/>
      <c r="S857" s="163">
        <f t="shared" ref="S857:S858" si="294">Q857+R857</f>
        <v>4</v>
      </c>
      <c r="T857" s="162" t="s">
        <v>41</v>
      </c>
    </row>
    <row r="858" spans="3:20" ht="20.25" customHeight="1">
      <c r="C858" s="109"/>
      <c r="D858" s="115">
        <f t="shared" si="273"/>
        <v>858</v>
      </c>
      <c r="E858" s="119" t="s">
        <v>272</v>
      </c>
      <c r="F858" s="121">
        <f t="shared" si="292"/>
        <v>857</v>
      </c>
      <c r="G858" s="118" t="s">
        <v>201</v>
      </c>
      <c r="H858" s="118"/>
      <c r="I858" s="117">
        <v>18</v>
      </c>
      <c r="J858" s="121" t="s">
        <v>273</v>
      </c>
      <c r="K858" s="131">
        <v>1</v>
      </c>
      <c r="L858" s="131" t="s">
        <v>81</v>
      </c>
      <c r="M858" s="141">
        <f>LEFT(J858,SEARCH(" ",J858,1)-1)*K858*0.001</f>
        <v>43</v>
      </c>
      <c r="N858" s="117" t="s">
        <v>139</v>
      </c>
      <c r="O858" s="175">
        <f>VLOOKUP(I858,BM!$A$2:$X$104,2,FALSE)</f>
        <v>0.1</v>
      </c>
      <c r="P858" s="117" t="s">
        <v>112</v>
      </c>
      <c r="Q858" s="163">
        <f t="shared" si="293"/>
        <v>4.3</v>
      </c>
      <c r="R858" s="161">
        <v>1</v>
      </c>
      <c r="S858" s="163">
        <f t="shared" si="294"/>
        <v>5.3</v>
      </c>
      <c r="T858" s="162" t="s">
        <v>48</v>
      </c>
    </row>
    <row r="859" spans="3:20" ht="20.25" customHeight="1">
      <c r="C859" s="109">
        <f>D859</f>
        <v>859</v>
      </c>
      <c r="D859" s="115">
        <f t="shared" si="273"/>
        <v>859</v>
      </c>
      <c r="E859" s="116" t="s">
        <v>752</v>
      </c>
      <c r="F859" s="121">
        <f>D856</f>
        <v>856</v>
      </c>
      <c r="G859" s="118"/>
      <c r="H859" s="118"/>
      <c r="I859" s="117"/>
      <c r="J859" s="117"/>
      <c r="K859" s="131"/>
      <c r="L859" s="131"/>
      <c r="M859" s="132"/>
      <c r="N859" s="117"/>
      <c r="O859" s="133"/>
      <c r="P859" s="117"/>
      <c r="Q859" s="163"/>
      <c r="R859" s="161"/>
      <c r="S859" s="163"/>
      <c r="T859" s="162"/>
    </row>
    <row r="860" spans="3:20" ht="20.25" customHeight="1">
      <c r="C860" s="109"/>
      <c r="D860" s="115">
        <f t="shared" si="273"/>
        <v>860</v>
      </c>
      <c r="E860" s="119" t="s">
        <v>275</v>
      </c>
      <c r="F860" s="121">
        <f t="shared" ref="F860" si="295">D859</f>
        <v>859</v>
      </c>
      <c r="G860" s="118" t="s">
        <v>276</v>
      </c>
      <c r="H860" s="118"/>
      <c r="I860" s="117">
        <v>18</v>
      </c>
      <c r="J860" s="121" t="str">
        <f>J858</f>
        <v>43000 mm</v>
      </c>
      <c r="K860" s="131">
        <v>3</v>
      </c>
      <c r="L860" s="131" t="s">
        <v>81</v>
      </c>
      <c r="M860" s="141">
        <f>LEFT(J860,SEARCH(" ",J860,1)-1)*K860*0.001</f>
        <v>129</v>
      </c>
      <c r="N860" s="117" t="s">
        <v>139</v>
      </c>
      <c r="O860" s="175">
        <f>VLOOKUP(I860,BM!$A$2:$X$104,3,FALSE)</f>
        <v>0.25</v>
      </c>
      <c r="P860" s="117" t="s">
        <v>112</v>
      </c>
      <c r="Q860" s="163">
        <f t="shared" ref="Q860" si="296">M860*O860</f>
        <v>32.25</v>
      </c>
      <c r="R860" s="161">
        <v>1</v>
      </c>
      <c r="S860" s="163">
        <f t="shared" ref="S860" si="297">Q860+R860</f>
        <v>33.25</v>
      </c>
      <c r="T860" s="162" t="s">
        <v>48</v>
      </c>
    </row>
    <row r="861" spans="3:20" ht="20.25" customHeight="1">
      <c r="C861" s="109">
        <f>D861</f>
        <v>861</v>
      </c>
      <c r="D861" s="115">
        <f t="shared" si="273"/>
        <v>861</v>
      </c>
      <c r="E861" s="116" t="s">
        <v>277</v>
      </c>
      <c r="F861" s="121">
        <f>D859</f>
        <v>859</v>
      </c>
      <c r="G861" s="118"/>
      <c r="H861" s="118"/>
      <c r="I861" s="117"/>
      <c r="J861" s="117"/>
      <c r="K861" s="131"/>
      <c r="L861" s="131"/>
      <c r="M861" s="132"/>
      <c r="N861" s="117"/>
      <c r="O861" s="133"/>
      <c r="P861" s="117"/>
      <c r="Q861" s="163"/>
      <c r="R861" s="161"/>
      <c r="S861" s="163"/>
      <c r="T861" s="162"/>
    </row>
    <row r="862" spans="3:20" ht="20.25" customHeight="1">
      <c r="C862" s="109"/>
      <c r="D862" s="115">
        <f t="shared" si="273"/>
        <v>862</v>
      </c>
      <c r="E862" s="119" t="s">
        <v>278</v>
      </c>
      <c r="F862" s="121">
        <f t="shared" ref="F862:F865" si="298">D861</f>
        <v>861</v>
      </c>
      <c r="G862" s="118" t="s">
        <v>224</v>
      </c>
      <c r="H862" s="118"/>
      <c r="I862" s="117">
        <v>18</v>
      </c>
      <c r="J862" s="117" t="s">
        <v>279</v>
      </c>
      <c r="K862" s="131">
        <v>1</v>
      </c>
      <c r="L862" s="131" t="s">
        <v>81</v>
      </c>
      <c r="M862" s="141">
        <f>LEFT(J862,SEARCH(" ",J862,1)-1)*K862*0.001</f>
        <v>2.5</v>
      </c>
      <c r="N862" s="117" t="s">
        <v>139</v>
      </c>
      <c r="O862" s="175">
        <f>VLOOKUP(I862,BM!$A$2:$X$104,5,FALSE)</f>
        <v>0.5</v>
      </c>
      <c r="P862" s="117" t="s">
        <v>112</v>
      </c>
      <c r="Q862" s="163">
        <f t="shared" ref="Q862:Q865" si="299">M862*O862</f>
        <v>1.25</v>
      </c>
      <c r="R862" s="161">
        <v>1</v>
      </c>
      <c r="S862" s="163">
        <f t="shared" ref="S862:S865" si="300">Q862+R862</f>
        <v>2.25</v>
      </c>
      <c r="T862" s="162" t="s">
        <v>48</v>
      </c>
    </row>
    <row r="863" spans="3:20" ht="20.25" customHeight="1">
      <c r="C863" s="109"/>
      <c r="D863" s="115">
        <f t="shared" si="273"/>
        <v>863</v>
      </c>
      <c r="E863" s="119" t="s">
        <v>278</v>
      </c>
      <c r="F863" s="121">
        <f t="shared" si="298"/>
        <v>862</v>
      </c>
      <c r="G863" s="118" t="s">
        <v>224</v>
      </c>
      <c r="H863" s="118"/>
      <c r="I863" s="121">
        <f>I862</f>
        <v>18</v>
      </c>
      <c r="J863" s="121" t="s">
        <v>279</v>
      </c>
      <c r="K863" s="131">
        <v>1</v>
      </c>
      <c r="L863" s="131" t="s">
        <v>81</v>
      </c>
      <c r="M863" s="141">
        <f>LEFT(J863,SEARCH(" ",J863,1)-1)*K863*0.001</f>
        <v>2.5</v>
      </c>
      <c r="N863" s="117" t="s">
        <v>139</v>
      </c>
      <c r="O863" s="175">
        <f>VLOOKUP(I863,BM!$A$2:$X$104,5,FALSE)</f>
        <v>0.5</v>
      </c>
      <c r="P863" s="117" t="s">
        <v>112</v>
      </c>
      <c r="Q863" s="163">
        <f t="shared" si="299"/>
        <v>1.25</v>
      </c>
      <c r="R863" s="161">
        <v>1</v>
      </c>
      <c r="S863" s="163">
        <f t="shared" si="300"/>
        <v>2.25</v>
      </c>
      <c r="T863" s="162" t="s">
        <v>48</v>
      </c>
    </row>
    <row r="864" spans="3:20" ht="20.25" customHeight="1">
      <c r="C864" s="109"/>
      <c r="D864" s="115">
        <f t="shared" si="273"/>
        <v>864</v>
      </c>
      <c r="E864" s="119" t="s">
        <v>278</v>
      </c>
      <c r="F864" s="121">
        <f t="shared" si="298"/>
        <v>863</v>
      </c>
      <c r="G864" s="118" t="s">
        <v>224</v>
      </c>
      <c r="H864" s="118"/>
      <c r="I864" s="121">
        <f>I863</f>
        <v>18</v>
      </c>
      <c r="J864" s="153" t="s">
        <v>280</v>
      </c>
      <c r="K864" s="131">
        <v>1</v>
      </c>
      <c r="L864" s="131" t="s">
        <v>81</v>
      </c>
      <c r="M864" s="141">
        <f t="shared" ref="M864:M865" si="301">LEFT(J864,SEARCH(" ",J864,1)-1)*K864*0.001</f>
        <v>1.25</v>
      </c>
      <c r="N864" s="117" t="s">
        <v>139</v>
      </c>
      <c r="O864" s="175">
        <f>VLOOKUP(I864,BM!$A$2:$X$104,5,FALSE)</f>
        <v>0.5</v>
      </c>
      <c r="P864" s="117" t="s">
        <v>112</v>
      </c>
      <c r="Q864" s="163">
        <f t="shared" si="299"/>
        <v>0.625</v>
      </c>
      <c r="R864" s="161">
        <v>1</v>
      </c>
      <c r="S864" s="163">
        <f t="shared" si="300"/>
        <v>1.625</v>
      </c>
      <c r="T864" s="162" t="s">
        <v>48</v>
      </c>
    </row>
    <row r="865" spans="3:20" ht="20.25" customHeight="1">
      <c r="C865" s="109"/>
      <c r="D865" s="115">
        <f t="shared" si="273"/>
        <v>865</v>
      </c>
      <c r="E865" s="119" t="s">
        <v>278</v>
      </c>
      <c r="F865" s="121">
        <f t="shared" si="298"/>
        <v>864</v>
      </c>
      <c r="G865" s="118" t="s">
        <v>224</v>
      </c>
      <c r="H865" s="118"/>
      <c r="I865" s="121">
        <f>I864</f>
        <v>18</v>
      </c>
      <c r="J865" s="153" t="s">
        <v>281</v>
      </c>
      <c r="K865" s="131">
        <v>1</v>
      </c>
      <c r="L865" s="131" t="s">
        <v>81</v>
      </c>
      <c r="M865" s="141">
        <f t="shared" si="301"/>
        <v>0</v>
      </c>
      <c r="N865" s="117" t="s">
        <v>139</v>
      </c>
      <c r="O865" s="175">
        <f>VLOOKUP(I865,BM!$A$2:$X$104,5,FALSE)</f>
        <v>0.5</v>
      </c>
      <c r="P865" s="117" t="s">
        <v>112</v>
      </c>
      <c r="Q865" s="163">
        <f t="shared" si="299"/>
        <v>0</v>
      </c>
      <c r="R865" s="161"/>
      <c r="S865" s="163">
        <f t="shared" si="300"/>
        <v>0</v>
      </c>
      <c r="T865" s="162" t="s">
        <v>48</v>
      </c>
    </row>
    <row r="866" spans="3:20" ht="20.25" customHeight="1">
      <c r="C866" s="109">
        <f>D866</f>
        <v>866</v>
      </c>
      <c r="D866" s="115">
        <f t="shared" si="273"/>
        <v>866</v>
      </c>
      <c r="E866" s="116" t="s">
        <v>753</v>
      </c>
      <c r="F866" s="121">
        <f>D861</f>
        <v>861</v>
      </c>
      <c r="G866" s="118"/>
      <c r="H866" s="118"/>
      <c r="I866" s="117"/>
      <c r="J866" s="117"/>
      <c r="K866" s="131"/>
      <c r="L866" s="131"/>
      <c r="M866" s="132"/>
      <c r="N866" s="117"/>
      <c r="O866" s="133"/>
      <c r="P866" s="117"/>
      <c r="Q866" s="163"/>
      <c r="R866" s="161"/>
      <c r="S866" s="163"/>
      <c r="T866" s="162"/>
    </row>
    <row r="867" spans="3:20" ht="20.25" customHeight="1">
      <c r="C867" s="109"/>
      <c r="D867" s="115">
        <f t="shared" si="273"/>
        <v>867</v>
      </c>
      <c r="E867" s="119" t="s">
        <v>283</v>
      </c>
      <c r="F867" s="121">
        <f t="shared" ref="F867:F870" si="302">D866</f>
        <v>866</v>
      </c>
      <c r="G867" s="118" t="s">
        <v>121</v>
      </c>
      <c r="H867" s="118"/>
      <c r="I867" s="121">
        <f>I865</f>
        <v>18</v>
      </c>
      <c r="J867" s="121" t="str">
        <f t="shared" ref="J867:K867" si="303">J862</f>
        <v>2500 mm</v>
      </c>
      <c r="K867" s="177">
        <f t="shared" si="303"/>
        <v>1</v>
      </c>
      <c r="L867" s="131" t="s">
        <v>81</v>
      </c>
      <c r="M867" s="141">
        <f t="shared" ref="M867:M870" si="304">LEFT(J867,SEARCH(" ",J867,1)-1)*K867*0.001</f>
        <v>2.5</v>
      </c>
      <c r="N867" s="117" t="s">
        <v>139</v>
      </c>
      <c r="O867" s="175">
        <f>VLOOKUP(I867,BM!$A$2:$X$104,6,FALSE)</f>
        <v>1</v>
      </c>
      <c r="P867" s="117" t="s">
        <v>112</v>
      </c>
      <c r="Q867" s="163">
        <f t="shared" ref="Q867:Q870" si="305">M867*O867</f>
        <v>2.5</v>
      </c>
      <c r="R867" s="161">
        <v>1</v>
      </c>
      <c r="S867" s="163">
        <f t="shared" ref="S867:S870" si="306">Q867+R867</f>
        <v>3.5</v>
      </c>
      <c r="T867" s="162" t="s">
        <v>48</v>
      </c>
    </row>
    <row r="868" spans="3:20" ht="20.25" customHeight="1">
      <c r="C868" s="109"/>
      <c r="D868" s="115">
        <f t="shared" si="273"/>
        <v>868</v>
      </c>
      <c r="E868" s="119" t="s">
        <v>283</v>
      </c>
      <c r="F868" s="121">
        <f t="shared" si="302"/>
        <v>867</v>
      </c>
      <c r="G868" s="118" t="s">
        <v>121</v>
      </c>
      <c r="H868" s="118"/>
      <c r="I868" s="121">
        <f>I865</f>
        <v>18</v>
      </c>
      <c r="J868" s="121" t="str">
        <f t="shared" ref="J868:K868" si="307">J863</f>
        <v>2500 mm</v>
      </c>
      <c r="K868" s="177">
        <f t="shared" si="307"/>
        <v>1</v>
      </c>
      <c r="L868" s="131" t="s">
        <v>81</v>
      </c>
      <c r="M868" s="141">
        <f t="shared" si="304"/>
        <v>2.5</v>
      </c>
      <c r="N868" s="117" t="s">
        <v>139</v>
      </c>
      <c r="O868" s="175">
        <f>VLOOKUP(I868,BM!$A$2:$X$104,6,FALSE)</f>
        <v>1</v>
      </c>
      <c r="P868" s="117" t="s">
        <v>112</v>
      </c>
      <c r="Q868" s="163">
        <f t="shared" si="305"/>
        <v>2.5</v>
      </c>
      <c r="R868" s="161">
        <v>1</v>
      </c>
      <c r="S868" s="163">
        <f t="shared" si="306"/>
        <v>3.5</v>
      </c>
      <c r="T868" s="162" t="s">
        <v>48</v>
      </c>
    </row>
    <row r="869" spans="3:20" ht="20.25" customHeight="1">
      <c r="C869" s="109"/>
      <c r="D869" s="115">
        <f t="shared" si="273"/>
        <v>869</v>
      </c>
      <c r="E869" s="119" t="s">
        <v>283</v>
      </c>
      <c r="F869" s="121">
        <f t="shared" si="302"/>
        <v>868</v>
      </c>
      <c r="G869" s="118" t="s">
        <v>121</v>
      </c>
      <c r="H869" s="118"/>
      <c r="I869" s="121">
        <f>I865</f>
        <v>18</v>
      </c>
      <c r="J869" s="121" t="str">
        <f t="shared" ref="J869:K869" si="308">J864</f>
        <v>1250 mm</v>
      </c>
      <c r="K869" s="177">
        <f t="shared" si="308"/>
        <v>1</v>
      </c>
      <c r="L869" s="131" t="s">
        <v>81</v>
      </c>
      <c r="M869" s="141">
        <f t="shared" si="304"/>
        <v>1.25</v>
      </c>
      <c r="N869" s="117" t="s">
        <v>139</v>
      </c>
      <c r="O869" s="175">
        <f>VLOOKUP(I869,BM!$A$2:$X$104,6,FALSE)</f>
        <v>1</v>
      </c>
      <c r="P869" s="117" t="s">
        <v>112</v>
      </c>
      <c r="Q869" s="163">
        <f t="shared" si="305"/>
        <v>1.25</v>
      </c>
      <c r="R869" s="161">
        <v>1</v>
      </c>
      <c r="S869" s="163">
        <f t="shared" si="306"/>
        <v>2.25</v>
      </c>
      <c r="T869" s="162" t="s">
        <v>48</v>
      </c>
    </row>
    <row r="870" spans="3:20" ht="20.25" customHeight="1">
      <c r="C870" s="109"/>
      <c r="D870" s="115">
        <f t="shared" si="273"/>
        <v>870</v>
      </c>
      <c r="E870" s="119" t="s">
        <v>283</v>
      </c>
      <c r="F870" s="121">
        <f t="shared" si="302"/>
        <v>869</v>
      </c>
      <c r="G870" s="118" t="s">
        <v>121</v>
      </c>
      <c r="H870" s="118"/>
      <c r="I870" s="121">
        <f>I865</f>
        <v>18</v>
      </c>
      <c r="J870" s="121" t="str">
        <f t="shared" ref="J870:K870" si="309">J865</f>
        <v>0 mm</v>
      </c>
      <c r="K870" s="177">
        <f t="shared" si="309"/>
        <v>1</v>
      </c>
      <c r="L870" s="131" t="s">
        <v>81</v>
      </c>
      <c r="M870" s="141">
        <f t="shared" si="304"/>
        <v>0</v>
      </c>
      <c r="N870" s="117" t="s">
        <v>139</v>
      </c>
      <c r="O870" s="175">
        <f>VLOOKUP(I870,BM!$A$2:$X$104,6,FALSE)</f>
        <v>1</v>
      </c>
      <c r="P870" s="117" t="s">
        <v>112</v>
      </c>
      <c r="Q870" s="163">
        <f t="shared" si="305"/>
        <v>0</v>
      </c>
      <c r="R870" s="161">
        <v>1</v>
      </c>
      <c r="S870" s="163">
        <f t="shared" si="306"/>
        <v>1</v>
      </c>
      <c r="T870" s="162" t="s">
        <v>48</v>
      </c>
    </row>
    <row r="871" spans="3:20" ht="20.25" customHeight="1">
      <c r="C871" s="109">
        <f>D871</f>
        <v>871</v>
      </c>
      <c r="D871" s="115">
        <f t="shared" si="273"/>
        <v>871</v>
      </c>
      <c r="E871" s="116" t="s">
        <v>754</v>
      </c>
      <c r="F871" s="121">
        <f>D866</f>
        <v>866</v>
      </c>
      <c r="G871" s="118"/>
      <c r="H871" s="118"/>
      <c r="I871" s="117"/>
      <c r="J871" s="117"/>
      <c r="K871" s="131"/>
      <c r="L871" s="131"/>
      <c r="M871" s="132"/>
      <c r="N871" s="117"/>
      <c r="O871" s="133"/>
      <c r="P871" s="117"/>
      <c r="Q871" s="163"/>
      <c r="R871" s="161"/>
      <c r="S871" s="163"/>
      <c r="T871" s="162"/>
    </row>
    <row r="872" spans="3:20" ht="20.25" customHeight="1">
      <c r="C872" s="109"/>
      <c r="D872" s="115">
        <f t="shared" si="273"/>
        <v>872</v>
      </c>
      <c r="E872" s="119" t="s">
        <v>285</v>
      </c>
      <c r="F872" s="121">
        <f t="shared" ref="F872:F875" si="310">D871</f>
        <v>871</v>
      </c>
      <c r="G872" s="118" t="s">
        <v>286</v>
      </c>
      <c r="H872" s="118"/>
      <c r="I872" s="121">
        <f>I870</f>
        <v>18</v>
      </c>
      <c r="J872" s="121" t="str">
        <f t="shared" ref="J872:K872" si="311">J867</f>
        <v>2500 mm</v>
      </c>
      <c r="K872" s="177">
        <f t="shared" si="311"/>
        <v>1</v>
      </c>
      <c r="L872" s="131" t="s">
        <v>81</v>
      </c>
      <c r="M872" s="141">
        <v>1</v>
      </c>
      <c r="N872" s="117" t="s">
        <v>39</v>
      </c>
      <c r="O872" s="133">
        <v>3</v>
      </c>
      <c r="P872" s="117" t="s">
        <v>112</v>
      </c>
      <c r="Q872" s="163">
        <f t="shared" ref="Q872:Q875" si="312">M872*O872</f>
        <v>3</v>
      </c>
      <c r="R872" s="161">
        <v>1</v>
      </c>
      <c r="S872" s="163">
        <f t="shared" ref="S872:S875" si="313">Q872+R872</f>
        <v>4</v>
      </c>
      <c r="T872" s="162" t="s">
        <v>48</v>
      </c>
    </row>
    <row r="873" spans="3:20" ht="20.25" customHeight="1">
      <c r="C873" s="109"/>
      <c r="D873" s="115">
        <f t="shared" si="273"/>
        <v>873</v>
      </c>
      <c r="E873" s="119" t="s">
        <v>285</v>
      </c>
      <c r="F873" s="121">
        <f t="shared" si="310"/>
        <v>872</v>
      </c>
      <c r="G873" s="118" t="s">
        <v>286</v>
      </c>
      <c r="H873" s="118"/>
      <c r="I873" s="121">
        <f>I870</f>
        <v>18</v>
      </c>
      <c r="J873" s="121" t="str">
        <f t="shared" ref="J873:K873" si="314">J868</f>
        <v>2500 mm</v>
      </c>
      <c r="K873" s="177">
        <f t="shared" si="314"/>
        <v>1</v>
      </c>
      <c r="L873" s="131" t="s">
        <v>81</v>
      </c>
      <c r="M873" s="141">
        <v>1</v>
      </c>
      <c r="N873" s="117" t="str">
        <f>N872</f>
        <v>No</v>
      </c>
      <c r="O873" s="175">
        <v>3</v>
      </c>
      <c r="P873" s="117" t="s">
        <v>112</v>
      </c>
      <c r="Q873" s="163">
        <f t="shared" si="312"/>
        <v>3</v>
      </c>
      <c r="R873" s="161">
        <v>1</v>
      </c>
      <c r="S873" s="163">
        <f t="shared" si="313"/>
        <v>4</v>
      </c>
      <c r="T873" s="162" t="s">
        <v>48</v>
      </c>
    </row>
    <row r="874" spans="3:20" ht="20.25" customHeight="1">
      <c r="C874" s="109"/>
      <c r="D874" s="115">
        <f t="shared" si="273"/>
        <v>874</v>
      </c>
      <c r="E874" s="119" t="s">
        <v>285</v>
      </c>
      <c r="F874" s="121">
        <f t="shared" si="310"/>
        <v>873</v>
      </c>
      <c r="G874" s="118" t="s">
        <v>286</v>
      </c>
      <c r="H874" s="118"/>
      <c r="I874" s="121">
        <f>I870</f>
        <v>18</v>
      </c>
      <c r="J874" s="121" t="str">
        <f t="shared" ref="J874:K874" si="315">J869</f>
        <v>1250 mm</v>
      </c>
      <c r="K874" s="177">
        <f t="shared" si="315"/>
        <v>1</v>
      </c>
      <c r="L874" s="131" t="s">
        <v>81</v>
      </c>
      <c r="M874" s="141">
        <v>1</v>
      </c>
      <c r="N874" s="117" t="str">
        <f>N873</f>
        <v>No</v>
      </c>
      <c r="O874" s="175">
        <v>3</v>
      </c>
      <c r="P874" s="117" t="s">
        <v>112</v>
      </c>
      <c r="Q874" s="163">
        <f t="shared" si="312"/>
        <v>3</v>
      </c>
      <c r="R874" s="161">
        <v>1</v>
      </c>
      <c r="S874" s="163">
        <f t="shared" si="313"/>
        <v>4</v>
      </c>
      <c r="T874" s="162" t="s">
        <v>48</v>
      </c>
    </row>
    <row r="875" spans="3:20" ht="20.25" customHeight="1">
      <c r="C875" s="109"/>
      <c r="D875" s="115">
        <f t="shared" si="273"/>
        <v>875</v>
      </c>
      <c r="E875" s="119" t="s">
        <v>285</v>
      </c>
      <c r="F875" s="121">
        <f t="shared" si="310"/>
        <v>874</v>
      </c>
      <c r="G875" s="118" t="s">
        <v>286</v>
      </c>
      <c r="H875" s="118"/>
      <c r="I875" s="121">
        <f>I870</f>
        <v>18</v>
      </c>
      <c r="J875" s="121" t="str">
        <f t="shared" ref="J875" si="316">J870</f>
        <v>0 mm</v>
      </c>
      <c r="K875" s="177">
        <v>0</v>
      </c>
      <c r="L875" s="131" t="s">
        <v>81</v>
      </c>
      <c r="M875" s="141">
        <v>0</v>
      </c>
      <c r="N875" s="117" t="str">
        <f>N874</f>
        <v>No</v>
      </c>
      <c r="O875" s="175">
        <v>0</v>
      </c>
      <c r="P875" s="117" t="s">
        <v>112</v>
      </c>
      <c r="Q875" s="163">
        <f t="shared" si="312"/>
        <v>0</v>
      </c>
      <c r="R875" s="161"/>
      <c r="S875" s="163">
        <f t="shared" si="313"/>
        <v>0</v>
      </c>
      <c r="T875" s="162" t="s">
        <v>48</v>
      </c>
    </row>
    <row r="876" spans="3:20" ht="20.25" customHeight="1">
      <c r="C876" s="109">
        <f>D876</f>
        <v>876</v>
      </c>
      <c r="D876" s="115">
        <f t="shared" si="273"/>
        <v>876</v>
      </c>
      <c r="E876" s="116" t="s">
        <v>755</v>
      </c>
      <c r="F876" s="121">
        <f>D871</f>
        <v>871</v>
      </c>
      <c r="G876" s="118"/>
      <c r="H876" s="118"/>
      <c r="I876" s="117"/>
      <c r="J876" s="117"/>
      <c r="K876" s="131"/>
      <c r="L876" s="131"/>
      <c r="M876" s="132"/>
      <c r="N876" s="117"/>
      <c r="O876" s="133"/>
      <c r="P876" s="117"/>
      <c r="Q876" s="163"/>
      <c r="R876" s="161"/>
      <c r="S876" s="163"/>
      <c r="T876" s="162"/>
    </row>
    <row r="877" spans="3:20" ht="20.25" customHeight="1">
      <c r="C877" s="109"/>
      <c r="D877" s="115">
        <f t="shared" si="273"/>
        <v>877</v>
      </c>
      <c r="E877" s="119" t="s">
        <v>288</v>
      </c>
      <c r="F877" s="121">
        <f t="shared" ref="F877:F880" si="317">D876</f>
        <v>876</v>
      </c>
      <c r="G877" s="118" t="s">
        <v>289</v>
      </c>
      <c r="H877" s="118"/>
      <c r="I877" s="121">
        <f>I875</f>
        <v>18</v>
      </c>
      <c r="J877" s="121" t="str">
        <f>J872</f>
        <v>2500 mm</v>
      </c>
      <c r="K877" s="131">
        <v>1</v>
      </c>
      <c r="L877" s="131" t="s">
        <v>81</v>
      </c>
      <c r="M877" s="155">
        <v>1</v>
      </c>
      <c r="N877" s="117" t="s">
        <v>81</v>
      </c>
      <c r="O877" s="175">
        <v>3</v>
      </c>
      <c r="P877" s="117" t="s">
        <v>112</v>
      </c>
      <c r="Q877" s="163">
        <f t="shared" ref="Q877:Q880" si="318">M877*O877</f>
        <v>3</v>
      </c>
      <c r="R877" s="161">
        <v>1</v>
      </c>
      <c r="S877" s="163">
        <f t="shared" ref="S877:S880" si="319">Q877+R877</f>
        <v>4</v>
      </c>
      <c r="T877" s="162" t="s">
        <v>48</v>
      </c>
    </row>
    <row r="878" spans="3:20" ht="20.25" customHeight="1">
      <c r="C878" s="109"/>
      <c r="D878" s="115">
        <f t="shared" si="273"/>
        <v>878</v>
      </c>
      <c r="E878" s="119" t="s">
        <v>288</v>
      </c>
      <c r="F878" s="121">
        <f t="shared" si="317"/>
        <v>877</v>
      </c>
      <c r="G878" s="118" t="s">
        <v>289</v>
      </c>
      <c r="H878" s="118"/>
      <c r="I878" s="121">
        <f>I875</f>
        <v>18</v>
      </c>
      <c r="J878" s="121" t="str">
        <f>J873</f>
        <v>2500 mm</v>
      </c>
      <c r="K878" s="131">
        <v>1</v>
      </c>
      <c r="L878" s="131" t="s">
        <v>81</v>
      </c>
      <c r="M878" s="155">
        <v>1</v>
      </c>
      <c r="N878" s="117" t="s">
        <v>81</v>
      </c>
      <c r="O878" s="175">
        <v>3</v>
      </c>
      <c r="P878" s="117" t="s">
        <v>112</v>
      </c>
      <c r="Q878" s="163">
        <f t="shared" si="318"/>
        <v>3</v>
      </c>
      <c r="R878" s="161">
        <v>1</v>
      </c>
      <c r="S878" s="163">
        <f t="shared" si="319"/>
        <v>4</v>
      </c>
      <c r="T878" s="162" t="s">
        <v>48</v>
      </c>
    </row>
    <row r="879" spans="3:20" ht="20.25" customHeight="1">
      <c r="C879" s="109"/>
      <c r="D879" s="115">
        <f t="shared" si="273"/>
        <v>879</v>
      </c>
      <c r="E879" s="119" t="s">
        <v>288</v>
      </c>
      <c r="F879" s="121">
        <f t="shared" si="317"/>
        <v>878</v>
      </c>
      <c r="G879" s="118" t="s">
        <v>289</v>
      </c>
      <c r="H879" s="118"/>
      <c r="I879" s="121">
        <f>I875</f>
        <v>18</v>
      </c>
      <c r="J879" s="121" t="str">
        <f>J874</f>
        <v>1250 mm</v>
      </c>
      <c r="K879" s="131">
        <v>1</v>
      </c>
      <c r="L879" s="131" t="s">
        <v>81</v>
      </c>
      <c r="M879" s="155">
        <v>1</v>
      </c>
      <c r="N879" s="117" t="s">
        <v>81</v>
      </c>
      <c r="O879" s="175">
        <v>3</v>
      </c>
      <c r="P879" s="117" t="s">
        <v>112</v>
      </c>
      <c r="Q879" s="163">
        <f t="shared" si="318"/>
        <v>3</v>
      </c>
      <c r="R879" s="161">
        <v>1</v>
      </c>
      <c r="S879" s="163">
        <f t="shared" si="319"/>
        <v>4</v>
      </c>
      <c r="T879" s="162" t="s">
        <v>48</v>
      </c>
    </row>
    <row r="880" spans="3:20" ht="20.25" customHeight="1">
      <c r="C880" s="109"/>
      <c r="D880" s="115">
        <f t="shared" si="273"/>
        <v>880</v>
      </c>
      <c r="E880" s="119" t="s">
        <v>288</v>
      </c>
      <c r="F880" s="121">
        <f t="shared" si="317"/>
        <v>879</v>
      </c>
      <c r="G880" s="118" t="s">
        <v>289</v>
      </c>
      <c r="H880" s="118"/>
      <c r="I880" s="121">
        <f>I875</f>
        <v>18</v>
      </c>
      <c r="J880" s="121" t="str">
        <f>J875</f>
        <v>0 mm</v>
      </c>
      <c r="K880" s="131">
        <v>1</v>
      </c>
      <c r="L880" s="131" t="s">
        <v>81</v>
      </c>
      <c r="M880" s="155">
        <v>0</v>
      </c>
      <c r="N880" s="117" t="s">
        <v>81</v>
      </c>
      <c r="O880" s="175">
        <v>3</v>
      </c>
      <c r="P880" s="117" t="s">
        <v>112</v>
      </c>
      <c r="Q880" s="163">
        <f t="shared" si="318"/>
        <v>0</v>
      </c>
      <c r="R880" s="161">
        <v>1</v>
      </c>
      <c r="S880" s="163">
        <f t="shared" si="319"/>
        <v>1</v>
      </c>
      <c r="T880" s="162" t="s">
        <v>48</v>
      </c>
    </row>
    <row r="881" spans="3:20" ht="20.25" customHeight="1">
      <c r="C881" s="109">
        <f>D881</f>
        <v>881</v>
      </c>
      <c r="D881" s="115">
        <f t="shared" si="273"/>
        <v>881</v>
      </c>
      <c r="E881" s="116" t="s">
        <v>756</v>
      </c>
      <c r="F881" s="121">
        <f>D876</f>
        <v>876</v>
      </c>
      <c r="G881" s="118"/>
      <c r="H881" s="118"/>
      <c r="I881" s="117"/>
      <c r="J881" s="117"/>
      <c r="K881" s="131"/>
      <c r="L881" s="131"/>
      <c r="M881" s="132"/>
      <c r="N881" s="117"/>
      <c r="O881" s="133"/>
      <c r="P881" s="117"/>
      <c r="Q881" s="163"/>
      <c r="R881" s="161"/>
      <c r="S881" s="163"/>
      <c r="T881" s="162"/>
    </row>
    <row r="882" spans="3:20" ht="20.25" customHeight="1">
      <c r="C882" s="109"/>
      <c r="D882" s="115">
        <f t="shared" si="273"/>
        <v>882</v>
      </c>
      <c r="E882" s="119" t="s">
        <v>291</v>
      </c>
      <c r="F882" s="121">
        <f t="shared" ref="F882:F885" si="320">D881</f>
        <v>881</v>
      </c>
      <c r="G882" s="118" t="s">
        <v>44</v>
      </c>
      <c r="H882" s="118"/>
      <c r="I882" s="121">
        <f>I880</f>
        <v>18</v>
      </c>
      <c r="J882" s="121" t="str">
        <f>J877</f>
        <v>2500 mm</v>
      </c>
      <c r="K882" s="131">
        <v>1</v>
      </c>
      <c r="L882" s="131" t="s">
        <v>81</v>
      </c>
      <c r="M882" s="141">
        <f t="shared" ref="M882:M885" si="321">LEFT(J882,SEARCH(" ",J882,1)-1)*K882*0.001</f>
        <v>2.5</v>
      </c>
      <c r="N882" s="117" t="s">
        <v>139</v>
      </c>
      <c r="O882" s="175">
        <f>VLOOKUP(I882,BM!$A$2:$X$104,9,FALSE)</f>
        <v>1</v>
      </c>
      <c r="P882" s="117" t="s">
        <v>112</v>
      </c>
      <c r="Q882" s="163">
        <f t="shared" ref="Q882:Q885" si="322">M882*O882</f>
        <v>2.5</v>
      </c>
      <c r="R882" s="161">
        <v>1</v>
      </c>
      <c r="S882" s="163">
        <f t="shared" ref="S882:S885" si="323">Q882+R882</f>
        <v>3.5</v>
      </c>
      <c r="T882" s="162" t="s">
        <v>48</v>
      </c>
    </row>
    <row r="883" spans="3:20" ht="20.25" customHeight="1">
      <c r="C883" s="109"/>
      <c r="D883" s="115">
        <f t="shared" si="273"/>
        <v>883</v>
      </c>
      <c r="E883" s="119" t="s">
        <v>291</v>
      </c>
      <c r="F883" s="121">
        <f t="shared" si="320"/>
        <v>882</v>
      </c>
      <c r="G883" s="118" t="s">
        <v>44</v>
      </c>
      <c r="H883" s="118"/>
      <c r="I883" s="121">
        <f>I880</f>
        <v>18</v>
      </c>
      <c r="J883" s="121" t="str">
        <f>J878</f>
        <v>2500 mm</v>
      </c>
      <c r="K883" s="131">
        <v>1</v>
      </c>
      <c r="L883" s="131" t="s">
        <v>81</v>
      </c>
      <c r="M883" s="141">
        <f t="shared" si="321"/>
        <v>2.5</v>
      </c>
      <c r="N883" s="117" t="s">
        <v>139</v>
      </c>
      <c r="O883" s="175">
        <f>VLOOKUP(I883,BM!$A$2:$X$104,9,FALSE)</f>
        <v>1</v>
      </c>
      <c r="P883" s="117" t="s">
        <v>112</v>
      </c>
      <c r="Q883" s="163">
        <f t="shared" si="322"/>
        <v>2.5</v>
      </c>
      <c r="R883" s="161">
        <v>1</v>
      </c>
      <c r="S883" s="163">
        <f t="shared" si="323"/>
        <v>3.5</v>
      </c>
      <c r="T883" s="162" t="s">
        <v>48</v>
      </c>
    </row>
    <row r="884" spans="3:20" ht="20.25" customHeight="1">
      <c r="C884" s="109"/>
      <c r="D884" s="115">
        <f t="shared" si="273"/>
        <v>884</v>
      </c>
      <c r="E884" s="119" t="s">
        <v>291</v>
      </c>
      <c r="F884" s="121">
        <f t="shared" si="320"/>
        <v>883</v>
      </c>
      <c r="G884" s="118" t="s">
        <v>44</v>
      </c>
      <c r="H884" s="118"/>
      <c r="I884" s="121">
        <f>I880</f>
        <v>18</v>
      </c>
      <c r="J884" s="121" t="str">
        <f>J879</f>
        <v>1250 mm</v>
      </c>
      <c r="K884" s="131">
        <v>1</v>
      </c>
      <c r="L884" s="131" t="s">
        <v>81</v>
      </c>
      <c r="M884" s="141">
        <f t="shared" si="321"/>
        <v>1.25</v>
      </c>
      <c r="N884" s="117" t="s">
        <v>139</v>
      </c>
      <c r="O884" s="175">
        <f>VLOOKUP(I884,BM!$A$2:$X$104,9,FALSE)</f>
        <v>1</v>
      </c>
      <c r="P884" s="117" t="s">
        <v>112</v>
      </c>
      <c r="Q884" s="163">
        <f t="shared" si="322"/>
        <v>1.25</v>
      </c>
      <c r="R884" s="161">
        <v>1</v>
      </c>
      <c r="S884" s="163">
        <f t="shared" si="323"/>
        <v>2.25</v>
      </c>
      <c r="T884" s="162" t="s">
        <v>48</v>
      </c>
    </row>
    <row r="885" spans="3:20" ht="20.25" customHeight="1">
      <c r="C885" s="109"/>
      <c r="D885" s="115">
        <f t="shared" si="273"/>
        <v>885</v>
      </c>
      <c r="E885" s="119" t="s">
        <v>291</v>
      </c>
      <c r="F885" s="121">
        <f t="shared" si="320"/>
        <v>884</v>
      </c>
      <c r="G885" s="118" t="s">
        <v>44</v>
      </c>
      <c r="H885" s="118"/>
      <c r="I885" s="121">
        <f>I880</f>
        <v>18</v>
      </c>
      <c r="J885" s="121" t="str">
        <f>J880</f>
        <v>0 mm</v>
      </c>
      <c r="K885" s="131">
        <v>1</v>
      </c>
      <c r="L885" s="131" t="s">
        <v>81</v>
      </c>
      <c r="M885" s="141">
        <f t="shared" si="321"/>
        <v>0</v>
      </c>
      <c r="N885" s="117" t="s">
        <v>139</v>
      </c>
      <c r="O885" s="175">
        <f>VLOOKUP(I885,BM!$A$2:$X$104,9,FALSE)</f>
        <v>1</v>
      </c>
      <c r="P885" s="117" t="s">
        <v>112</v>
      </c>
      <c r="Q885" s="163">
        <f t="shared" si="322"/>
        <v>0</v>
      </c>
      <c r="R885" s="161">
        <v>1</v>
      </c>
      <c r="S885" s="163">
        <f t="shared" si="323"/>
        <v>1</v>
      </c>
      <c r="T885" s="162" t="s">
        <v>48</v>
      </c>
    </row>
    <row r="886" spans="3:20" ht="20.25" customHeight="1">
      <c r="C886" s="109">
        <f>D886</f>
        <v>886</v>
      </c>
      <c r="D886" s="115">
        <f t="shared" si="273"/>
        <v>886</v>
      </c>
      <c r="E886" s="116" t="s">
        <v>757</v>
      </c>
      <c r="F886" s="121">
        <f>D881</f>
        <v>881</v>
      </c>
      <c r="G886" s="118"/>
      <c r="H886" s="118"/>
      <c r="I886" s="117"/>
      <c r="J886" s="117"/>
      <c r="K886" s="131"/>
      <c r="L886" s="131"/>
      <c r="M886" s="132"/>
      <c r="N886" s="117"/>
      <c r="O886" s="133"/>
      <c r="P886" s="117"/>
      <c r="Q886" s="163"/>
      <c r="R886" s="161"/>
      <c r="S886" s="163"/>
      <c r="T886" s="162"/>
    </row>
    <row r="887" spans="3:20" ht="20.25" customHeight="1">
      <c r="C887" s="109"/>
      <c r="D887" s="115">
        <f t="shared" si="273"/>
        <v>887</v>
      </c>
      <c r="E887" s="119" t="s">
        <v>293</v>
      </c>
      <c r="F887" s="121">
        <f t="shared" ref="F887:F890" si="324">D886</f>
        <v>886</v>
      </c>
      <c r="G887" s="118" t="s">
        <v>286</v>
      </c>
      <c r="H887" s="118"/>
      <c r="I887" s="121">
        <f>I885</f>
        <v>18</v>
      </c>
      <c r="J887" s="121" t="str">
        <f>J882</f>
        <v>2500 mm</v>
      </c>
      <c r="K887" s="131">
        <v>1</v>
      </c>
      <c r="L887" s="131" t="s">
        <v>81</v>
      </c>
      <c r="M887" s="155">
        <f>K887</f>
        <v>1</v>
      </c>
      <c r="N887" s="117" t="s">
        <v>39</v>
      </c>
      <c r="O887" s="133">
        <v>3</v>
      </c>
      <c r="P887" s="117" t="s">
        <v>112</v>
      </c>
      <c r="Q887" s="163">
        <f t="shared" ref="Q887:Q900" si="325">M887*O887</f>
        <v>3</v>
      </c>
      <c r="R887" s="161">
        <v>1</v>
      </c>
      <c r="S887" s="163">
        <f t="shared" ref="S887:S900" si="326">Q887+R887</f>
        <v>4</v>
      </c>
      <c r="T887" s="162" t="s">
        <v>48</v>
      </c>
    </row>
    <row r="888" spans="3:20" ht="20.25" customHeight="1">
      <c r="C888" s="109"/>
      <c r="D888" s="115">
        <f t="shared" si="273"/>
        <v>888</v>
      </c>
      <c r="E888" s="119" t="s">
        <v>294</v>
      </c>
      <c r="F888" s="121">
        <f t="shared" si="324"/>
        <v>887</v>
      </c>
      <c r="G888" s="118" t="s">
        <v>286</v>
      </c>
      <c r="H888" s="118"/>
      <c r="I888" s="121">
        <f>I885</f>
        <v>18</v>
      </c>
      <c r="J888" s="121" t="str">
        <f>J883</f>
        <v>2500 mm</v>
      </c>
      <c r="K888" s="131">
        <v>1</v>
      </c>
      <c r="L888" s="131" t="s">
        <v>81</v>
      </c>
      <c r="M888" s="155">
        <f>K888</f>
        <v>1</v>
      </c>
      <c r="N888" s="117" t="s">
        <v>39</v>
      </c>
      <c r="O888" s="175">
        <f>O887</f>
        <v>3</v>
      </c>
      <c r="P888" s="117" t="s">
        <v>112</v>
      </c>
      <c r="Q888" s="163">
        <f t="shared" si="325"/>
        <v>3</v>
      </c>
      <c r="R888" s="161">
        <v>1</v>
      </c>
      <c r="S888" s="163">
        <f t="shared" si="326"/>
        <v>4</v>
      </c>
      <c r="T888" s="162" t="s">
        <v>48</v>
      </c>
    </row>
    <row r="889" spans="3:20" ht="20.25" customHeight="1">
      <c r="C889" s="109"/>
      <c r="D889" s="115">
        <f t="shared" si="273"/>
        <v>889</v>
      </c>
      <c r="E889" s="119" t="s">
        <v>294</v>
      </c>
      <c r="F889" s="121">
        <f t="shared" si="324"/>
        <v>888</v>
      </c>
      <c r="G889" s="118" t="s">
        <v>286</v>
      </c>
      <c r="H889" s="118"/>
      <c r="I889" s="121">
        <f>I885</f>
        <v>18</v>
      </c>
      <c r="J889" s="121" t="str">
        <f>J884</f>
        <v>1250 mm</v>
      </c>
      <c r="K889" s="131">
        <v>1</v>
      </c>
      <c r="L889" s="131" t="s">
        <v>81</v>
      </c>
      <c r="M889" s="155">
        <f>K889</f>
        <v>1</v>
      </c>
      <c r="N889" s="117" t="s">
        <v>39</v>
      </c>
      <c r="O889" s="175">
        <f>O888</f>
        <v>3</v>
      </c>
      <c r="P889" s="117" t="s">
        <v>112</v>
      </c>
      <c r="Q889" s="163">
        <f t="shared" si="325"/>
        <v>3</v>
      </c>
      <c r="R889" s="161">
        <v>1</v>
      </c>
      <c r="S889" s="163">
        <f t="shared" si="326"/>
        <v>4</v>
      </c>
      <c r="T889" s="162" t="s">
        <v>48</v>
      </c>
    </row>
    <row r="890" spans="3:20" ht="20.25" customHeight="1">
      <c r="C890" s="109"/>
      <c r="D890" s="115">
        <f t="shared" si="273"/>
        <v>890</v>
      </c>
      <c r="E890" s="119" t="s">
        <v>294</v>
      </c>
      <c r="F890" s="121">
        <f t="shared" si="324"/>
        <v>889</v>
      </c>
      <c r="G890" s="118" t="s">
        <v>286</v>
      </c>
      <c r="H890" s="118"/>
      <c r="I890" s="121">
        <f>I885</f>
        <v>18</v>
      </c>
      <c r="J890" s="121" t="str">
        <f>J885</f>
        <v>0 mm</v>
      </c>
      <c r="K890" s="131">
        <v>1</v>
      </c>
      <c r="L890" s="131" t="s">
        <v>81</v>
      </c>
      <c r="M890" s="155">
        <f>K890</f>
        <v>1</v>
      </c>
      <c r="N890" s="117" t="s">
        <v>39</v>
      </c>
      <c r="O890" s="175">
        <f>O889</f>
        <v>3</v>
      </c>
      <c r="P890" s="117" t="s">
        <v>112</v>
      </c>
      <c r="Q890" s="163">
        <f t="shared" si="325"/>
        <v>3</v>
      </c>
      <c r="R890" s="161">
        <v>1</v>
      </c>
      <c r="S890" s="163">
        <f t="shared" si="326"/>
        <v>4</v>
      </c>
      <c r="T890" s="162" t="s">
        <v>48</v>
      </c>
    </row>
    <row r="891" spans="3:20" ht="20.25" customHeight="1">
      <c r="C891" s="109">
        <f>D891</f>
        <v>891</v>
      </c>
      <c r="D891" s="115">
        <f t="shared" si="273"/>
        <v>891</v>
      </c>
      <c r="E891" s="116" t="s">
        <v>758</v>
      </c>
      <c r="F891" s="121">
        <f>D886</f>
        <v>886</v>
      </c>
      <c r="G891" s="118"/>
      <c r="H891" s="118"/>
      <c r="I891" s="117"/>
      <c r="J891" s="117"/>
      <c r="K891" s="131"/>
      <c r="L891" s="131"/>
      <c r="M891" s="132"/>
      <c r="N891" s="117"/>
      <c r="O891" s="133"/>
      <c r="P891" s="117"/>
      <c r="Q891" s="163">
        <f t="shared" si="325"/>
        <v>0</v>
      </c>
      <c r="R891" s="161"/>
      <c r="S891" s="163">
        <f t="shared" si="326"/>
        <v>0</v>
      </c>
      <c r="T891" s="162"/>
    </row>
    <row r="892" spans="3:20" ht="20.25" customHeight="1">
      <c r="C892" s="109"/>
      <c r="D892" s="115">
        <f t="shared" si="273"/>
        <v>892</v>
      </c>
      <c r="E892" s="119" t="s">
        <v>296</v>
      </c>
      <c r="F892" s="121">
        <f t="shared" ref="F892:F895" si="327">D891</f>
        <v>891</v>
      </c>
      <c r="G892" s="118" t="s">
        <v>201</v>
      </c>
      <c r="H892" s="118"/>
      <c r="I892" s="121">
        <f>I890</f>
        <v>18</v>
      </c>
      <c r="J892" s="121" t="str">
        <f>J887</f>
        <v>2500 mm</v>
      </c>
      <c r="K892" s="131">
        <v>1</v>
      </c>
      <c r="L892" s="131" t="s">
        <v>81</v>
      </c>
      <c r="M892" s="141">
        <f t="shared" ref="M892:M895" si="328">LEFT(J892,SEARCH(" ",J892,1)-1)*K892*0.001</f>
        <v>2.5</v>
      </c>
      <c r="N892" s="117" t="s">
        <v>139</v>
      </c>
      <c r="O892" s="175">
        <f>VLOOKUP(I892,BM!$A$2:$X$104,9,FALSE)</f>
        <v>1</v>
      </c>
      <c r="P892" s="117" t="s">
        <v>112</v>
      </c>
      <c r="Q892" s="163">
        <f t="shared" si="325"/>
        <v>2.5</v>
      </c>
      <c r="R892" s="161">
        <v>1</v>
      </c>
      <c r="S892" s="163">
        <f t="shared" si="326"/>
        <v>3.5</v>
      </c>
      <c r="T892" s="162" t="s">
        <v>48</v>
      </c>
    </row>
    <row r="893" spans="3:20" ht="20.25" customHeight="1">
      <c r="C893" s="109"/>
      <c r="D893" s="115">
        <f t="shared" si="273"/>
        <v>893</v>
      </c>
      <c r="E893" s="119" t="s">
        <v>296</v>
      </c>
      <c r="F893" s="121">
        <f t="shared" si="327"/>
        <v>892</v>
      </c>
      <c r="G893" s="118" t="s">
        <v>201</v>
      </c>
      <c r="H893" s="118"/>
      <c r="I893" s="121">
        <f>I890</f>
        <v>18</v>
      </c>
      <c r="J893" s="121" t="str">
        <f>J888</f>
        <v>2500 mm</v>
      </c>
      <c r="K893" s="131">
        <v>1</v>
      </c>
      <c r="L893" s="131" t="s">
        <v>81</v>
      </c>
      <c r="M893" s="141">
        <f t="shared" si="328"/>
        <v>2.5</v>
      </c>
      <c r="N893" s="117" t="s">
        <v>139</v>
      </c>
      <c r="O893" s="175">
        <f>VLOOKUP(I893,BM!$A$2:$X$104,9,FALSE)</f>
        <v>1</v>
      </c>
      <c r="P893" s="117" t="s">
        <v>112</v>
      </c>
      <c r="Q893" s="163">
        <f t="shared" si="325"/>
        <v>2.5</v>
      </c>
      <c r="R893" s="161">
        <v>1</v>
      </c>
      <c r="S893" s="163">
        <f t="shared" si="326"/>
        <v>3.5</v>
      </c>
      <c r="T893" s="162" t="s">
        <v>48</v>
      </c>
    </row>
    <row r="894" spans="3:20" ht="20.25" customHeight="1">
      <c r="C894" s="109"/>
      <c r="D894" s="115">
        <f t="shared" si="273"/>
        <v>894</v>
      </c>
      <c r="E894" s="119" t="s">
        <v>296</v>
      </c>
      <c r="F894" s="121">
        <f t="shared" si="327"/>
        <v>893</v>
      </c>
      <c r="G894" s="118" t="s">
        <v>201</v>
      </c>
      <c r="H894" s="118"/>
      <c r="I894" s="121">
        <f>I890</f>
        <v>18</v>
      </c>
      <c r="J894" s="121" t="str">
        <f>J889</f>
        <v>1250 mm</v>
      </c>
      <c r="K894" s="131">
        <v>1</v>
      </c>
      <c r="L894" s="131" t="s">
        <v>81</v>
      </c>
      <c r="M894" s="141">
        <f t="shared" si="328"/>
        <v>1.25</v>
      </c>
      <c r="N894" s="117" t="s">
        <v>139</v>
      </c>
      <c r="O894" s="175">
        <f>VLOOKUP(I894,BM!$A$2:$X$104,9,FALSE)</f>
        <v>1</v>
      </c>
      <c r="P894" s="117" t="s">
        <v>112</v>
      </c>
      <c r="Q894" s="163">
        <f t="shared" si="325"/>
        <v>1.25</v>
      </c>
      <c r="R894" s="161">
        <v>1</v>
      </c>
      <c r="S894" s="163">
        <f t="shared" si="326"/>
        <v>2.25</v>
      </c>
      <c r="T894" s="162" t="s">
        <v>48</v>
      </c>
    </row>
    <row r="895" spans="3:20" ht="20.25" customHeight="1">
      <c r="C895" s="109"/>
      <c r="D895" s="115">
        <f t="shared" si="273"/>
        <v>895</v>
      </c>
      <c r="E895" s="119" t="s">
        <v>296</v>
      </c>
      <c r="F895" s="121">
        <f t="shared" si="327"/>
        <v>894</v>
      </c>
      <c r="G895" s="118" t="s">
        <v>201</v>
      </c>
      <c r="H895" s="118"/>
      <c r="I895" s="121">
        <f>I890</f>
        <v>18</v>
      </c>
      <c r="J895" s="121" t="str">
        <f>J890</f>
        <v>0 mm</v>
      </c>
      <c r="K895" s="131">
        <v>1</v>
      </c>
      <c r="L895" s="131" t="s">
        <v>81</v>
      </c>
      <c r="M895" s="141">
        <f t="shared" si="328"/>
        <v>0</v>
      </c>
      <c r="N895" s="117" t="s">
        <v>139</v>
      </c>
      <c r="O895" s="175">
        <f>VLOOKUP(I895,BM!$A$2:$X$104,9,FALSE)</f>
        <v>1</v>
      </c>
      <c r="P895" s="117" t="s">
        <v>112</v>
      </c>
      <c r="Q895" s="163">
        <f t="shared" si="325"/>
        <v>0</v>
      </c>
      <c r="R895" s="161">
        <v>1</v>
      </c>
      <c r="S895" s="163">
        <f t="shared" si="326"/>
        <v>1</v>
      </c>
      <c r="T895" s="162" t="s">
        <v>48</v>
      </c>
    </row>
    <row r="896" spans="3:20" ht="20.25" customHeight="1">
      <c r="C896" s="109">
        <f>D896</f>
        <v>896</v>
      </c>
      <c r="D896" s="115">
        <f t="shared" si="273"/>
        <v>896</v>
      </c>
      <c r="E896" s="116" t="s">
        <v>759</v>
      </c>
      <c r="F896" s="121">
        <f>D891</f>
        <v>891</v>
      </c>
      <c r="G896" s="118"/>
      <c r="H896" s="118"/>
      <c r="I896" s="117"/>
      <c r="J896" s="117"/>
      <c r="K896" s="131"/>
      <c r="L896" s="131"/>
      <c r="M896" s="132"/>
      <c r="N896" s="117"/>
      <c r="O896" s="133"/>
      <c r="P896" s="117"/>
      <c r="Q896" s="163">
        <f t="shared" si="325"/>
        <v>0</v>
      </c>
      <c r="R896" s="161"/>
      <c r="S896" s="163">
        <f t="shared" si="326"/>
        <v>0</v>
      </c>
      <c r="T896" s="162"/>
    </row>
    <row r="897" spans="3:20" ht="20.25" customHeight="1">
      <c r="C897" s="109"/>
      <c r="D897" s="115">
        <f t="shared" si="273"/>
        <v>897</v>
      </c>
      <c r="E897" s="119" t="s">
        <v>298</v>
      </c>
      <c r="F897" s="121">
        <f t="shared" ref="F897:F900" si="329">D896</f>
        <v>896</v>
      </c>
      <c r="G897" s="118"/>
      <c r="H897" s="118"/>
      <c r="I897" s="121">
        <f>I895</f>
        <v>18</v>
      </c>
      <c r="J897" s="121" t="str">
        <f>J892</f>
        <v>2500 mm</v>
      </c>
      <c r="K897" s="131">
        <v>1</v>
      </c>
      <c r="L897" s="131" t="s">
        <v>81</v>
      </c>
      <c r="M897" s="141">
        <f t="shared" ref="M897:M900" si="330">LEFT(J897,SEARCH(" ",J897,1)-1)*K897*0.001</f>
        <v>2.5</v>
      </c>
      <c r="N897" s="117" t="s">
        <v>139</v>
      </c>
      <c r="O897" s="175">
        <f>VLOOKUP(I897,BM!$A$2:$X$104,10,FALSE)</f>
        <v>1</v>
      </c>
      <c r="P897" s="117" t="s">
        <v>112</v>
      </c>
      <c r="Q897" s="163">
        <f t="shared" si="325"/>
        <v>2.5</v>
      </c>
      <c r="R897" s="161">
        <v>1</v>
      </c>
      <c r="S897" s="163">
        <f t="shared" si="326"/>
        <v>3.5</v>
      </c>
      <c r="T897" s="162" t="s">
        <v>48</v>
      </c>
    </row>
    <row r="898" spans="3:20" ht="20.25" customHeight="1">
      <c r="C898" s="109"/>
      <c r="D898" s="115">
        <f t="shared" si="273"/>
        <v>898</v>
      </c>
      <c r="E898" s="119" t="s">
        <v>298</v>
      </c>
      <c r="F898" s="121">
        <f t="shared" si="329"/>
        <v>897</v>
      </c>
      <c r="G898" s="118" t="s">
        <v>299</v>
      </c>
      <c r="H898" s="118"/>
      <c r="I898" s="121">
        <f>I895</f>
        <v>18</v>
      </c>
      <c r="J898" s="121" t="str">
        <f>J893</f>
        <v>2500 mm</v>
      </c>
      <c r="K898" s="131">
        <v>1</v>
      </c>
      <c r="L898" s="131" t="s">
        <v>81</v>
      </c>
      <c r="M898" s="141">
        <f t="shared" si="330"/>
        <v>2.5</v>
      </c>
      <c r="N898" s="117" t="s">
        <v>139</v>
      </c>
      <c r="O898" s="175">
        <f>VLOOKUP(I898,BM!$A$2:$X$104,10,FALSE)</f>
        <v>1</v>
      </c>
      <c r="P898" s="117" t="s">
        <v>112</v>
      </c>
      <c r="Q898" s="163">
        <f t="shared" si="325"/>
        <v>2.5</v>
      </c>
      <c r="R898" s="161">
        <v>1</v>
      </c>
      <c r="S898" s="163">
        <f t="shared" si="326"/>
        <v>3.5</v>
      </c>
      <c r="T898" s="162" t="s">
        <v>48</v>
      </c>
    </row>
    <row r="899" spans="3:20" ht="20.25" customHeight="1">
      <c r="C899" s="109"/>
      <c r="D899" s="115">
        <f t="shared" si="273"/>
        <v>899</v>
      </c>
      <c r="E899" s="119" t="s">
        <v>298</v>
      </c>
      <c r="F899" s="121">
        <f t="shared" si="329"/>
        <v>898</v>
      </c>
      <c r="G899" s="118" t="s">
        <v>299</v>
      </c>
      <c r="H899" s="118"/>
      <c r="I899" s="121">
        <f>I895</f>
        <v>18</v>
      </c>
      <c r="J899" s="121" t="str">
        <f>J894</f>
        <v>1250 mm</v>
      </c>
      <c r="K899" s="131">
        <v>1</v>
      </c>
      <c r="L899" s="131" t="s">
        <v>81</v>
      </c>
      <c r="M899" s="141">
        <f t="shared" si="330"/>
        <v>1.25</v>
      </c>
      <c r="N899" s="117" t="s">
        <v>139</v>
      </c>
      <c r="O899" s="175">
        <f>VLOOKUP(I899,BM!$A$2:$X$104,10,FALSE)</f>
        <v>1</v>
      </c>
      <c r="P899" s="117" t="s">
        <v>112</v>
      </c>
      <c r="Q899" s="163">
        <f t="shared" si="325"/>
        <v>1.25</v>
      </c>
      <c r="R899" s="161">
        <v>1</v>
      </c>
      <c r="S899" s="163">
        <f t="shared" si="326"/>
        <v>2.25</v>
      </c>
      <c r="T899" s="162" t="s">
        <v>48</v>
      </c>
    </row>
    <row r="900" spans="3:20" ht="20.25" customHeight="1">
      <c r="C900" s="109"/>
      <c r="D900" s="115">
        <f t="shared" ref="D900:D963" si="331">D899+1</f>
        <v>900</v>
      </c>
      <c r="E900" s="119" t="s">
        <v>298</v>
      </c>
      <c r="F900" s="121">
        <f t="shared" si="329"/>
        <v>899</v>
      </c>
      <c r="G900" s="118" t="s">
        <v>299</v>
      </c>
      <c r="H900" s="118"/>
      <c r="I900" s="121">
        <f>I895</f>
        <v>18</v>
      </c>
      <c r="J900" s="121" t="str">
        <f>J895</f>
        <v>0 mm</v>
      </c>
      <c r="K900" s="131">
        <v>1</v>
      </c>
      <c r="L900" s="131" t="s">
        <v>81</v>
      </c>
      <c r="M900" s="141">
        <f t="shared" si="330"/>
        <v>0</v>
      </c>
      <c r="N900" s="117" t="s">
        <v>139</v>
      </c>
      <c r="O900" s="175">
        <f>VLOOKUP(I900,BM!$A$2:$X$104,10,FALSE)</f>
        <v>1</v>
      </c>
      <c r="P900" s="117" t="s">
        <v>112</v>
      </c>
      <c r="Q900" s="163">
        <f t="shared" si="325"/>
        <v>0</v>
      </c>
      <c r="R900" s="161">
        <v>1</v>
      </c>
      <c r="S900" s="163">
        <f t="shared" si="326"/>
        <v>1</v>
      </c>
      <c r="T900" s="162" t="s">
        <v>48</v>
      </c>
    </row>
    <row r="901" spans="3:20" ht="20.25" customHeight="1">
      <c r="C901" s="109">
        <f>D901</f>
        <v>901</v>
      </c>
      <c r="D901" s="115">
        <f t="shared" si="331"/>
        <v>901</v>
      </c>
      <c r="E901" s="116" t="s">
        <v>300</v>
      </c>
      <c r="F901" s="121">
        <f>D896</f>
        <v>896</v>
      </c>
      <c r="G901" s="118"/>
      <c r="H901" s="118"/>
      <c r="I901" s="117"/>
      <c r="J901" s="117"/>
      <c r="K901" s="131"/>
      <c r="L901" s="131"/>
      <c r="M901" s="132"/>
      <c r="N901" s="117"/>
      <c r="O901" s="133"/>
      <c r="P901" s="117"/>
      <c r="Q901" s="163"/>
      <c r="R901" s="161"/>
      <c r="S901" s="163"/>
      <c r="T901" s="162"/>
    </row>
    <row r="902" spans="3:20" ht="20.25" customHeight="1">
      <c r="C902" s="109"/>
      <c r="D902" s="115">
        <f t="shared" si="331"/>
        <v>902</v>
      </c>
      <c r="E902" s="119" t="s">
        <v>301</v>
      </c>
      <c r="F902" s="121">
        <f t="shared" ref="F902:F905" si="332">D901</f>
        <v>901</v>
      </c>
      <c r="G902" s="118" t="s">
        <v>44</v>
      </c>
      <c r="H902" s="118"/>
      <c r="I902" s="121">
        <f>I900</f>
        <v>18</v>
      </c>
      <c r="J902" s="121" t="str">
        <f>J897</f>
        <v>2500 mm</v>
      </c>
      <c r="K902" s="131">
        <v>1</v>
      </c>
      <c r="L902" s="131" t="s">
        <v>81</v>
      </c>
      <c r="M902" s="141">
        <v>1</v>
      </c>
      <c r="N902" s="117" t="s">
        <v>39</v>
      </c>
      <c r="O902" s="175">
        <f>VLOOKUP(I902,BM!$A$2:$X$104,11,FALSE)</f>
        <v>1</v>
      </c>
      <c r="P902" s="117" t="s">
        <v>112</v>
      </c>
      <c r="Q902" s="163">
        <f t="shared" ref="Q902:Q905" si="333">M902*O902</f>
        <v>1</v>
      </c>
      <c r="R902" s="161">
        <v>1</v>
      </c>
      <c r="S902" s="163">
        <f t="shared" ref="S902:S905" si="334">Q902+R902</f>
        <v>2</v>
      </c>
      <c r="T902" s="162" t="s">
        <v>48</v>
      </c>
    </row>
    <row r="903" spans="3:20" ht="20.25" customHeight="1">
      <c r="C903" s="109"/>
      <c r="D903" s="115">
        <f t="shared" si="331"/>
        <v>903</v>
      </c>
      <c r="E903" s="119" t="s">
        <v>301</v>
      </c>
      <c r="F903" s="121">
        <f t="shared" si="332"/>
        <v>902</v>
      </c>
      <c r="G903" s="118" t="s">
        <v>44</v>
      </c>
      <c r="H903" s="118"/>
      <c r="I903" s="121">
        <f>I900</f>
        <v>18</v>
      </c>
      <c r="J903" s="121" t="str">
        <f>J898</f>
        <v>2500 mm</v>
      </c>
      <c r="K903" s="131">
        <v>1</v>
      </c>
      <c r="L903" s="131" t="s">
        <v>81</v>
      </c>
      <c r="M903" s="141">
        <v>1</v>
      </c>
      <c r="N903" s="117" t="s">
        <v>39</v>
      </c>
      <c r="O903" s="175">
        <f>VLOOKUP(I903,BM!$A$2:$X$104,11,FALSE)</f>
        <v>1</v>
      </c>
      <c r="P903" s="117" t="s">
        <v>112</v>
      </c>
      <c r="Q903" s="163">
        <f t="shared" si="333"/>
        <v>1</v>
      </c>
      <c r="R903" s="161">
        <v>1</v>
      </c>
      <c r="S903" s="163">
        <f t="shared" si="334"/>
        <v>2</v>
      </c>
      <c r="T903" s="162" t="s">
        <v>48</v>
      </c>
    </row>
    <row r="904" spans="3:20" ht="20.25" customHeight="1">
      <c r="C904" s="109"/>
      <c r="D904" s="115">
        <f t="shared" si="331"/>
        <v>904</v>
      </c>
      <c r="E904" s="119" t="s">
        <v>301</v>
      </c>
      <c r="F904" s="121">
        <f t="shared" si="332"/>
        <v>903</v>
      </c>
      <c r="G904" s="118" t="s">
        <v>44</v>
      </c>
      <c r="H904" s="118"/>
      <c r="I904" s="121">
        <f>I900</f>
        <v>18</v>
      </c>
      <c r="J904" s="121" t="str">
        <f>J899</f>
        <v>1250 mm</v>
      </c>
      <c r="K904" s="131">
        <v>1</v>
      </c>
      <c r="L904" s="131" t="s">
        <v>81</v>
      </c>
      <c r="M904" s="141">
        <v>1</v>
      </c>
      <c r="N904" s="117" t="s">
        <v>39</v>
      </c>
      <c r="O904" s="175">
        <f>VLOOKUP(I904,BM!$A$2:$X$104,11,FALSE)</f>
        <v>1</v>
      </c>
      <c r="P904" s="117" t="s">
        <v>112</v>
      </c>
      <c r="Q904" s="163">
        <f t="shared" si="333"/>
        <v>1</v>
      </c>
      <c r="R904" s="161">
        <v>1</v>
      </c>
      <c r="S904" s="163">
        <f t="shared" si="334"/>
        <v>2</v>
      </c>
      <c r="T904" s="162" t="s">
        <v>48</v>
      </c>
    </row>
    <row r="905" spans="3:20" ht="20.25" customHeight="1">
      <c r="C905" s="109"/>
      <c r="D905" s="115">
        <f t="shared" si="331"/>
        <v>905</v>
      </c>
      <c r="E905" s="119" t="s">
        <v>301</v>
      </c>
      <c r="F905" s="121">
        <f t="shared" si="332"/>
        <v>904</v>
      </c>
      <c r="G905" s="118" t="s">
        <v>44</v>
      </c>
      <c r="H905" s="118"/>
      <c r="I905" s="121">
        <f>I900</f>
        <v>18</v>
      </c>
      <c r="J905" s="121" t="str">
        <f>J900</f>
        <v>0 mm</v>
      </c>
      <c r="K905" s="131">
        <v>1</v>
      </c>
      <c r="L905" s="131" t="s">
        <v>81</v>
      </c>
      <c r="M905" s="141">
        <v>1</v>
      </c>
      <c r="N905" s="117" t="s">
        <v>39</v>
      </c>
      <c r="O905" s="175">
        <f>VLOOKUP(I905,BM!$A$2:$X$104,11,FALSE)</f>
        <v>1</v>
      </c>
      <c r="P905" s="117" t="s">
        <v>112</v>
      </c>
      <c r="Q905" s="163">
        <f t="shared" si="333"/>
        <v>1</v>
      </c>
      <c r="R905" s="161">
        <v>1</v>
      </c>
      <c r="S905" s="163">
        <f t="shared" si="334"/>
        <v>2</v>
      </c>
      <c r="T905" s="162" t="s">
        <v>48</v>
      </c>
    </row>
    <row r="906" spans="3:20" ht="20.25" customHeight="1">
      <c r="C906" s="109">
        <f>D906</f>
        <v>906</v>
      </c>
      <c r="D906" s="115">
        <f t="shared" si="331"/>
        <v>906</v>
      </c>
      <c r="E906" s="116" t="s">
        <v>760</v>
      </c>
      <c r="F906" s="121">
        <f>D901</f>
        <v>901</v>
      </c>
      <c r="G906" s="118"/>
      <c r="H906" s="118"/>
      <c r="I906" s="117"/>
      <c r="J906" s="117"/>
      <c r="K906" s="131"/>
      <c r="L906" s="131"/>
      <c r="M906" s="132"/>
      <c r="N906" s="117"/>
      <c r="O906" s="133"/>
      <c r="P906" s="117"/>
      <c r="Q906" s="163"/>
      <c r="R906" s="161"/>
      <c r="S906" s="163"/>
      <c r="T906" s="162"/>
    </row>
    <row r="907" spans="3:20" ht="20.25" customHeight="1">
      <c r="C907" s="109"/>
      <c r="D907" s="115">
        <f t="shared" si="331"/>
        <v>907</v>
      </c>
      <c r="E907" s="119" t="s">
        <v>303</v>
      </c>
      <c r="F907" s="121">
        <f t="shared" ref="F907:F910" si="335">D906</f>
        <v>906</v>
      </c>
      <c r="G907" s="118" t="s">
        <v>115</v>
      </c>
      <c r="H907" s="118"/>
      <c r="I907" s="117">
        <v>12</v>
      </c>
      <c r="J907" s="121" t="str">
        <f>J902</f>
        <v>2500 mm</v>
      </c>
      <c r="K907" s="131">
        <v>1</v>
      </c>
      <c r="L907" s="131" t="s">
        <v>81</v>
      </c>
      <c r="M907" s="141">
        <f t="shared" ref="M907:M910" si="336">LEFT(J907,SEARCH(" ",J907,1)-1)*K907*0.001</f>
        <v>2.5</v>
      </c>
      <c r="N907" s="117" t="s">
        <v>139</v>
      </c>
      <c r="O907" s="175">
        <f>VLOOKUP(I907,BM!$A$2:$X$104,12,FALSE)</f>
        <v>2.5</v>
      </c>
      <c r="P907" s="117" t="s">
        <v>112</v>
      </c>
      <c r="Q907" s="163">
        <f t="shared" ref="Q907:Q910" si="337">M907*O907</f>
        <v>6.25</v>
      </c>
      <c r="R907" s="161">
        <v>1</v>
      </c>
      <c r="S907" s="163">
        <f t="shared" ref="S907:S910" si="338">Q907+R907</f>
        <v>7.25</v>
      </c>
      <c r="T907" s="162" t="s">
        <v>48</v>
      </c>
    </row>
    <row r="908" spans="3:20" ht="20.25" customHeight="1">
      <c r="C908" s="109"/>
      <c r="D908" s="115">
        <f t="shared" si="331"/>
        <v>908</v>
      </c>
      <c r="E908" s="119" t="s">
        <v>303</v>
      </c>
      <c r="F908" s="121">
        <f t="shared" si="335"/>
        <v>907</v>
      </c>
      <c r="G908" s="118" t="s">
        <v>115</v>
      </c>
      <c r="H908" s="118"/>
      <c r="I908" s="121">
        <f>I907</f>
        <v>12</v>
      </c>
      <c r="J908" s="121" t="str">
        <f>J903</f>
        <v>2500 mm</v>
      </c>
      <c r="K908" s="131">
        <v>1</v>
      </c>
      <c r="L908" s="131" t="s">
        <v>81</v>
      </c>
      <c r="M908" s="141">
        <f t="shared" si="336"/>
        <v>2.5</v>
      </c>
      <c r="N908" s="117" t="s">
        <v>139</v>
      </c>
      <c r="O908" s="175">
        <f>VLOOKUP(I908,BM!$A$2:$X$104,12,FALSE)</f>
        <v>2.5</v>
      </c>
      <c r="P908" s="117" t="s">
        <v>112</v>
      </c>
      <c r="Q908" s="163">
        <f t="shared" si="337"/>
        <v>6.25</v>
      </c>
      <c r="R908" s="161">
        <v>1</v>
      </c>
      <c r="S908" s="163">
        <f t="shared" si="338"/>
        <v>7.25</v>
      </c>
      <c r="T908" s="162" t="s">
        <v>48</v>
      </c>
    </row>
    <row r="909" spans="3:20" ht="20.25" customHeight="1">
      <c r="C909" s="109"/>
      <c r="D909" s="115">
        <f t="shared" si="331"/>
        <v>909</v>
      </c>
      <c r="E909" s="119" t="s">
        <v>303</v>
      </c>
      <c r="F909" s="121">
        <f t="shared" si="335"/>
        <v>908</v>
      </c>
      <c r="G909" s="118" t="s">
        <v>115</v>
      </c>
      <c r="H909" s="118"/>
      <c r="I909" s="121">
        <f>I908</f>
        <v>12</v>
      </c>
      <c r="J909" s="121" t="str">
        <f>J904</f>
        <v>1250 mm</v>
      </c>
      <c r="K909" s="131">
        <v>1</v>
      </c>
      <c r="L909" s="131" t="s">
        <v>81</v>
      </c>
      <c r="M909" s="141">
        <f t="shared" si="336"/>
        <v>1.25</v>
      </c>
      <c r="N909" s="117" t="s">
        <v>139</v>
      </c>
      <c r="O909" s="175">
        <f>VLOOKUP(I909,BM!$A$2:$X$104,12,FALSE)</f>
        <v>2.5</v>
      </c>
      <c r="P909" s="117" t="s">
        <v>112</v>
      </c>
      <c r="Q909" s="163">
        <f t="shared" si="337"/>
        <v>3.125</v>
      </c>
      <c r="R909" s="161">
        <v>1</v>
      </c>
      <c r="S909" s="163">
        <f t="shared" si="338"/>
        <v>4.125</v>
      </c>
      <c r="T909" s="162" t="s">
        <v>48</v>
      </c>
    </row>
    <row r="910" spans="3:20" ht="20.25" customHeight="1">
      <c r="C910" s="109"/>
      <c r="D910" s="115">
        <f t="shared" si="331"/>
        <v>910</v>
      </c>
      <c r="E910" s="119" t="s">
        <v>303</v>
      </c>
      <c r="F910" s="121">
        <f t="shared" si="335"/>
        <v>909</v>
      </c>
      <c r="G910" s="118" t="s">
        <v>115</v>
      </c>
      <c r="H910" s="118"/>
      <c r="I910" s="121">
        <f>I909</f>
        <v>12</v>
      </c>
      <c r="J910" s="121" t="str">
        <f>J905</f>
        <v>0 mm</v>
      </c>
      <c r="K910" s="131">
        <v>1</v>
      </c>
      <c r="L910" s="131" t="s">
        <v>81</v>
      </c>
      <c r="M910" s="141">
        <f t="shared" si="336"/>
        <v>0</v>
      </c>
      <c r="N910" s="117" t="s">
        <v>139</v>
      </c>
      <c r="O910" s="175">
        <f>VLOOKUP(I910,BM!$A$2:$X$104,12,FALSE)</f>
        <v>2.5</v>
      </c>
      <c r="P910" s="117" t="s">
        <v>112</v>
      </c>
      <c r="Q910" s="163">
        <f t="shared" si="337"/>
        <v>0</v>
      </c>
      <c r="R910" s="161">
        <v>1</v>
      </c>
      <c r="S910" s="163">
        <f t="shared" si="338"/>
        <v>1</v>
      </c>
      <c r="T910" s="162" t="s">
        <v>48</v>
      </c>
    </row>
    <row r="911" spans="3:20" ht="20.25" customHeight="1">
      <c r="C911" s="109">
        <f>D911</f>
        <v>911</v>
      </c>
      <c r="D911" s="115">
        <f t="shared" si="331"/>
        <v>911</v>
      </c>
      <c r="E911" s="116" t="s">
        <v>304</v>
      </c>
      <c r="F911" s="121">
        <f>D906</f>
        <v>906</v>
      </c>
      <c r="G911" s="118"/>
      <c r="H911" s="118"/>
      <c r="I911" s="117"/>
      <c r="J911" s="117"/>
      <c r="K911" s="131"/>
      <c r="L911" s="131"/>
      <c r="M911" s="132"/>
      <c r="N911" s="117"/>
      <c r="O911" s="133"/>
      <c r="P911" s="117"/>
      <c r="Q911" s="163"/>
      <c r="R911" s="161"/>
      <c r="S911" s="163"/>
      <c r="T911" s="162"/>
    </row>
    <row r="912" spans="3:20" ht="20.25" customHeight="1">
      <c r="C912" s="109"/>
      <c r="D912" s="115">
        <f t="shared" si="331"/>
        <v>912</v>
      </c>
      <c r="E912" s="119" t="s">
        <v>305</v>
      </c>
      <c r="F912" s="121">
        <f t="shared" ref="F912:F915" si="339">D911</f>
        <v>911</v>
      </c>
      <c r="G912" s="118" t="s">
        <v>61</v>
      </c>
      <c r="H912" s="118"/>
      <c r="I912" s="117">
        <v>18</v>
      </c>
      <c r="J912" s="121" t="str">
        <f>J907</f>
        <v>2500 mm</v>
      </c>
      <c r="K912" s="131">
        <v>1</v>
      </c>
      <c r="L912" s="131" t="s">
        <v>81</v>
      </c>
      <c r="M912" s="141">
        <f t="shared" ref="M912:M915" si="340">LEFT(J912,SEARCH(" ",J912,1)-1)*K912*0.001</f>
        <v>2.5</v>
      </c>
      <c r="N912" s="117" t="s">
        <v>139</v>
      </c>
      <c r="O912" s="175">
        <f>VLOOKUP(I912,BM!$A$2:$X$104,18,FALSE)</f>
        <v>1</v>
      </c>
      <c r="P912" s="117" t="s">
        <v>112</v>
      </c>
      <c r="Q912" s="163">
        <f t="shared" ref="Q912:Q915" si="341">M912*O912</f>
        <v>2.5</v>
      </c>
      <c r="R912" s="161">
        <v>1</v>
      </c>
      <c r="S912" s="163">
        <f t="shared" ref="S912:S915" si="342">Q912+R912</f>
        <v>3.5</v>
      </c>
      <c r="T912" s="162" t="s">
        <v>48</v>
      </c>
    </row>
    <row r="913" spans="3:20" ht="20.25" customHeight="1">
      <c r="C913" s="109"/>
      <c r="D913" s="115">
        <f t="shared" si="331"/>
        <v>913</v>
      </c>
      <c r="E913" s="119" t="s">
        <v>305</v>
      </c>
      <c r="F913" s="121">
        <f t="shared" si="339"/>
        <v>912</v>
      </c>
      <c r="G913" s="118" t="s">
        <v>61</v>
      </c>
      <c r="H913" s="118"/>
      <c r="I913" s="117">
        <v>18</v>
      </c>
      <c r="J913" s="121" t="str">
        <f>J908</f>
        <v>2500 mm</v>
      </c>
      <c r="K913" s="131">
        <v>1</v>
      </c>
      <c r="L913" s="131" t="s">
        <v>81</v>
      </c>
      <c r="M913" s="141">
        <f t="shared" si="340"/>
        <v>2.5</v>
      </c>
      <c r="N913" s="117" t="s">
        <v>139</v>
      </c>
      <c r="O913" s="175">
        <f>VLOOKUP(I913,BM!$A$2:$X$104,18,FALSE)</f>
        <v>1</v>
      </c>
      <c r="P913" s="117" t="s">
        <v>112</v>
      </c>
      <c r="Q913" s="163">
        <f t="shared" si="341"/>
        <v>2.5</v>
      </c>
      <c r="R913" s="161">
        <v>1</v>
      </c>
      <c r="S913" s="163">
        <f t="shared" si="342"/>
        <v>3.5</v>
      </c>
      <c r="T913" s="162" t="s">
        <v>48</v>
      </c>
    </row>
    <row r="914" spans="3:20" ht="20.25" customHeight="1">
      <c r="C914" s="109"/>
      <c r="D914" s="115">
        <f t="shared" si="331"/>
        <v>914</v>
      </c>
      <c r="E914" s="119" t="s">
        <v>305</v>
      </c>
      <c r="F914" s="121">
        <f t="shared" si="339"/>
        <v>913</v>
      </c>
      <c r="G914" s="118" t="s">
        <v>61</v>
      </c>
      <c r="H914" s="118"/>
      <c r="I914" s="117">
        <v>18</v>
      </c>
      <c r="J914" s="121" t="str">
        <f>J909</f>
        <v>1250 mm</v>
      </c>
      <c r="K914" s="131">
        <v>1</v>
      </c>
      <c r="L914" s="131" t="s">
        <v>81</v>
      </c>
      <c r="M914" s="141">
        <f t="shared" si="340"/>
        <v>1.25</v>
      </c>
      <c r="N914" s="117" t="s">
        <v>139</v>
      </c>
      <c r="O914" s="175">
        <f>VLOOKUP(I914,BM!$A$2:$X$104,18,FALSE)</f>
        <v>1</v>
      </c>
      <c r="P914" s="117" t="s">
        <v>112</v>
      </c>
      <c r="Q914" s="163">
        <f t="shared" si="341"/>
        <v>1.25</v>
      </c>
      <c r="R914" s="161">
        <v>1</v>
      </c>
      <c r="S914" s="163">
        <f t="shared" si="342"/>
        <v>2.25</v>
      </c>
      <c r="T914" s="162" t="s">
        <v>48</v>
      </c>
    </row>
    <row r="915" spans="3:20" ht="20.25" customHeight="1">
      <c r="C915" s="109"/>
      <c r="D915" s="115">
        <f t="shared" si="331"/>
        <v>915</v>
      </c>
      <c r="E915" s="119" t="s">
        <v>305</v>
      </c>
      <c r="F915" s="121">
        <f t="shared" si="339"/>
        <v>914</v>
      </c>
      <c r="G915" s="118" t="s">
        <v>61</v>
      </c>
      <c r="H915" s="118"/>
      <c r="I915" s="117">
        <v>18</v>
      </c>
      <c r="J915" s="121" t="str">
        <f>J910</f>
        <v>0 mm</v>
      </c>
      <c r="K915" s="131">
        <v>1</v>
      </c>
      <c r="L915" s="131" t="s">
        <v>81</v>
      </c>
      <c r="M915" s="141">
        <f t="shared" si="340"/>
        <v>0</v>
      </c>
      <c r="N915" s="117" t="s">
        <v>139</v>
      </c>
      <c r="O915" s="175">
        <f>VLOOKUP(I915,BM!$A$2:$X$104,18,FALSE)</f>
        <v>1</v>
      </c>
      <c r="P915" s="117" t="s">
        <v>112</v>
      </c>
      <c r="Q915" s="163">
        <f t="shared" si="341"/>
        <v>0</v>
      </c>
      <c r="R915" s="161">
        <v>1</v>
      </c>
      <c r="S915" s="163">
        <f t="shared" si="342"/>
        <v>1</v>
      </c>
      <c r="T915" s="162" t="s">
        <v>48</v>
      </c>
    </row>
    <row r="916" spans="3:20" ht="20.25" customHeight="1">
      <c r="C916" s="109">
        <f>D916</f>
        <v>916</v>
      </c>
      <c r="D916" s="115">
        <f t="shared" si="331"/>
        <v>916</v>
      </c>
      <c r="E916" s="116" t="s">
        <v>306</v>
      </c>
      <c r="F916" s="121">
        <f>D911</f>
        <v>911</v>
      </c>
      <c r="G916" s="118"/>
      <c r="H916" s="118"/>
      <c r="I916" s="117"/>
      <c r="J916" s="117"/>
      <c r="K916" s="131"/>
      <c r="L916" s="131"/>
      <c r="M916" s="132"/>
      <c r="N916" s="117"/>
      <c r="O916" s="133"/>
      <c r="P916" s="117"/>
      <c r="Q916" s="163"/>
      <c r="R916" s="161"/>
      <c r="S916" s="163"/>
      <c r="T916" s="162"/>
    </row>
    <row r="917" spans="3:20" ht="20.25" customHeight="1">
      <c r="C917" s="109"/>
      <c r="D917" s="115">
        <f t="shared" si="331"/>
        <v>917</v>
      </c>
      <c r="E917" s="119" t="s">
        <v>307</v>
      </c>
      <c r="F917" s="121">
        <f t="shared" ref="F917:F920" si="343">D916</f>
        <v>916</v>
      </c>
      <c r="G917" s="118" t="s">
        <v>115</v>
      </c>
      <c r="H917" s="118"/>
      <c r="I917" s="117">
        <v>6</v>
      </c>
      <c r="J917" s="121" t="str">
        <f>J912</f>
        <v>2500 mm</v>
      </c>
      <c r="K917" s="131">
        <v>1</v>
      </c>
      <c r="L917" s="131" t="s">
        <v>81</v>
      </c>
      <c r="M917" s="141">
        <f t="shared" ref="M917:M920" si="344">LEFT(J917,SEARCH(" ",J917,1)-1)*K917*0.001</f>
        <v>2.5</v>
      </c>
      <c r="N917" s="117" t="s">
        <v>139</v>
      </c>
      <c r="O917" s="175">
        <f>VLOOKUP(I917,BM!$A$2:$X$104,12,FALSE)</f>
        <v>0.9</v>
      </c>
      <c r="P917" s="117" t="s">
        <v>112</v>
      </c>
      <c r="Q917" s="163">
        <f t="shared" ref="Q917:Q920" si="345">M917*O917</f>
        <v>2.25</v>
      </c>
      <c r="R917" s="161">
        <v>1</v>
      </c>
      <c r="S917" s="163">
        <f t="shared" ref="S917:S920" si="346">Q917+R917</f>
        <v>3.25</v>
      </c>
      <c r="T917" s="162" t="s">
        <v>48</v>
      </c>
    </row>
    <row r="918" spans="3:20" ht="20.25" customHeight="1">
      <c r="C918" s="109"/>
      <c r="D918" s="115">
        <f t="shared" si="331"/>
        <v>918</v>
      </c>
      <c r="E918" s="119" t="s">
        <v>307</v>
      </c>
      <c r="F918" s="121">
        <f t="shared" si="343"/>
        <v>917</v>
      </c>
      <c r="G918" s="118" t="s">
        <v>115</v>
      </c>
      <c r="H918" s="118"/>
      <c r="I918" s="121">
        <f>I917</f>
        <v>6</v>
      </c>
      <c r="J918" s="121" t="str">
        <f>J913</f>
        <v>2500 mm</v>
      </c>
      <c r="K918" s="131">
        <v>1</v>
      </c>
      <c r="L918" s="131" t="s">
        <v>81</v>
      </c>
      <c r="M918" s="141">
        <f t="shared" si="344"/>
        <v>2.5</v>
      </c>
      <c r="N918" s="117" t="s">
        <v>139</v>
      </c>
      <c r="O918" s="175">
        <f>VLOOKUP(I918,BM!$A$2:$X$104,12,FALSE)</f>
        <v>0.9</v>
      </c>
      <c r="P918" s="117" t="s">
        <v>112</v>
      </c>
      <c r="Q918" s="163">
        <f t="shared" si="345"/>
        <v>2.25</v>
      </c>
      <c r="R918" s="161">
        <v>1</v>
      </c>
      <c r="S918" s="163">
        <f t="shared" si="346"/>
        <v>3.25</v>
      </c>
      <c r="T918" s="162" t="s">
        <v>48</v>
      </c>
    </row>
    <row r="919" spans="3:20" ht="20.25" customHeight="1">
      <c r="C919" s="109"/>
      <c r="D919" s="115">
        <f t="shared" si="331"/>
        <v>919</v>
      </c>
      <c r="E919" s="119" t="s">
        <v>307</v>
      </c>
      <c r="F919" s="121">
        <f t="shared" si="343"/>
        <v>918</v>
      </c>
      <c r="G919" s="118" t="s">
        <v>115</v>
      </c>
      <c r="H919" s="118"/>
      <c r="I919" s="121">
        <f>I918</f>
        <v>6</v>
      </c>
      <c r="J919" s="121" t="str">
        <f>J914</f>
        <v>1250 mm</v>
      </c>
      <c r="K919" s="131">
        <v>1</v>
      </c>
      <c r="L919" s="131" t="s">
        <v>81</v>
      </c>
      <c r="M919" s="141">
        <f t="shared" si="344"/>
        <v>1.25</v>
      </c>
      <c r="N919" s="117" t="s">
        <v>139</v>
      </c>
      <c r="O919" s="175">
        <f>VLOOKUP(I919,BM!$A$2:$X$104,12,FALSE)</f>
        <v>0.9</v>
      </c>
      <c r="P919" s="117" t="s">
        <v>112</v>
      </c>
      <c r="Q919" s="163">
        <f t="shared" si="345"/>
        <v>1.125</v>
      </c>
      <c r="R919" s="161">
        <v>1</v>
      </c>
      <c r="S919" s="163">
        <f t="shared" si="346"/>
        <v>2.125</v>
      </c>
      <c r="T919" s="162" t="s">
        <v>48</v>
      </c>
    </row>
    <row r="920" spans="3:20" ht="20.25" customHeight="1">
      <c r="C920" s="109"/>
      <c r="D920" s="115">
        <f t="shared" si="331"/>
        <v>920</v>
      </c>
      <c r="E920" s="119" t="s">
        <v>307</v>
      </c>
      <c r="F920" s="121">
        <f t="shared" si="343"/>
        <v>919</v>
      </c>
      <c r="G920" s="118" t="s">
        <v>115</v>
      </c>
      <c r="H920" s="118"/>
      <c r="I920" s="121">
        <f>I919</f>
        <v>6</v>
      </c>
      <c r="J920" s="121" t="str">
        <f>J915</f>
        <v>0 mm</v>
      </c>
      <c r="K920" s="131">
        <v>1</v>
      </c>
      <c r="L920" s="131" t="s">
        <v>81</v>
      </c>
      <c r="M920" s="141">
        <f t="shared" si="344"/>
        <v>0</v>
      </c>
      <c r="N920" s="117" t="s">
        <v>139</v>
      </c>
      <c r="O920" s="175">
        <f>VLOOKUP(I920,BM!$A$2:$X$104,12,FALSE)</f>
        <v>0.9</v>
      </c>
      <c r="P920" s="117" t="s">
        <v>112</v>
      </c>
      <c r="Q920" s="163">
        <f t="shared" si="345"/>
        <v>0</v>
      </c>
      <c r="R920" s="161">
        <v>1</v>
      </c>
      <c r="S920" s="163">
        <f t="shared" si="346"/>
        <v>1</v>
      </c>
      <c r="T920" s="162" t="s">
        <v>48</v>
      </c>
    </row>
    <row r="921" spans="3:20" ht="20.25" customHeight="1">
      <c r="C921" s="109">
        <f>D921</f>
        <v>921</v>
      </c>
      <c r="D921" s="115">
        <f t="shared" si="331"/>
        <v>921</v>
      </c>
      <c r="E921" s="116" t="s">
        <v>308</v>
      </c>
      <c r="F921" s="121">
        <f>D916</f>
        <v>916</v>
      </c>
      <c r="G921" s="118"/>
      <c r="H921" s="118"/>
      <c r="I921" s="117"/>
      <c r="J921" s="117"/>
      <c r="K921" s="131"/>
      <c r="L921" s="131"/>
      <c r="M921" s="132"/>
      <c r="N921" s="117"/>
      <c r="O921" s="133"/>
      <c r="P921" s="117"/>
      <c r="Q921" s="163"/>
      <c r="R921" s="161"/>
      <c r="S921" s="163"/>
      <c r="T921" s="162"/>
    </row>
    <row r="922" spans="3:20" ht="20.25" customHeight="1">
      <c r="C922" s="109"/>
      <c r="D922" s="115">
        <f t="shared" si="331"/>
        <v>922</v>
      </c>
      <c r="E922" s="119" t="s">
        <v>309</v>
      </c>
      <c r="F922" s="121">
        <f t="shared" ref="F922:F925" si="347">D921</f>
        <v>921</v>
      </c>
      <c r="G922" s="118" t="s">
        <v>61</v>
      </c>
      <c r="H922" s="118"/>
      <c r="I922" s="121">
        <f>I912</f>
        <v>18</v>
      </c>
      <c r="J922" s="121" t="str">
        <f>J917</f>
        <v>2500 mm</v>
      </c>
      <c r="K922" s="131">
        <v>1</v>
      </c>
      <c r="L922" s="131" t="s">
        <v>81</v>
      </c>
      <c r="M922" s="141">
        <f t="shared" ref="M922:M925" si="348">LEFT(J922,SEARCH(" ",J922,1)-1)*K922*0.001</f>
        <v>2.5</v>
      </c>
      <c r="N922" s="117" t="s">
        <v>139</v>
      </c>
      <c r="O922" s="175">
        <f>VLOOKUP(I922,BM!$A$2:$X$104,20,FALSE)</f>
        <v>0.5</v>
      </c>
      <c r="P922" s="117" t="s">
        <v>112</v>
      </c>
      <c r="Q922" s="163">
        <f t="shared" ref="Q922:Q925" si="349">M922*O922</f>
        <v>1.25</v>
      </c>
      <c r="R922" s="161">
        <v>1</v>
      </c>
      <c r="S922" s="163">
        <f t="shared" ref="S922:S925" si="350">Q922+R922</f>
        <v>2.25</v>
      </c>
      <c r="T922" s="162" t="s">
        <v>48</v>
      </c>
    </row>
    <row r="923" spans="3:20" ht="20.25" customHeight="1">
      <c r="C923" s="109"/>
      <c r="D923" s="115">
        <f t="shared" si="331"/>
        <v>923</v>
      </c>
      <c r="E923" s="119" t="s">
        <v>309</v>
      </c>
      <c r="F923" s="121">
        <f t="shared" si="347"/>
        <v>922</v>
      </c>
      <c r="G923" s="118" t="s">
        <v>61</v>
      </c>
      <c r="H923" s="118"/>
      <c r="I923" s="121">
        <f t="shared" ref="I923:I925" si="351">I922</f>
        <v>18</v>
      </c>
      <c r="J923" s="121" t="str">
        <f>J918</f>
        <v>2500 mm</v>
      </c>
      <c r="K923" s="131">
        <v>1</v>
      </c>
      <c r="L923" s="131" t="s">
        <v>81</v>
      </c>
      <c r="M923" s="141">
        <f t="shared" si="348"/>
        <v>2.5</v>
      </c>
      <c r="N923" s="117" t="s">
        <v>139</v>
      </c>
      <c r="O923" s="175">
        <f>VLOOKUP(I923,BM!$A$2:$X$104,20,FALSE)</f>
        <v>0.5</v>
      </c>
      <c r="P923" s="117" t="s">
        <v>112</v>
      </c>
      <c r="Q923" s="163">
        <f t="shared" si="349"/>
        <v>1.25</v>
      </c>
      <c r="R923" s="161">
        <v>1</v>
      </c>
      <c r="S923" s="163">
        <f t="shared" si="350"/>
        <v>2.25</v>
      </c>
      <c r="T923" s="162" t="s">
        <v>48</v>
      </c>
    </row>
    <row r="924" spans="3:20" ht="20.25" customHeight="1">
      <c r="C924" s="109"/>
      <c r="D924" s="115">
        <f t="shared" si="331"/>
        <v>924</v>
      </c>
      <c r="E924" s="119" t="s">
        <v>309</v>
      </c>
      <c r="F924" s="121">
        <f t="shared" si="347"/>
        <v>923</v>
      </c>
      <c r="G924" s="118" t="s">
        <v>61</v>
      </c>
      <c r="H924" s="118"/>
      <c r="I924" s="121">
        <f t="shared" si="351"/>
        <v>18</v>
      </c>
      <c r="J924" s="121" t="str">
        <f>J919</f>
        <v>1250 mm</v>
      </c>
      <c r="K924" s="131">
        <v>1</v>
      </c>
      <c r="L924" s="131" t="s">
        <v>81</v>
      </c>
      <c r="M924" s="141">
        <f t="shared" si="348"/>
        <v>1.25</v>
      </c>
      <c r="N924" s="117" t="s">
        <v>139</v>
      </c>
      <c r="O924" s="175">
        <f>VLOOKUP(I924,BM!$A$2:$X$104,20,FALSE)</f>
        <v>0.5</v>
      </c>
      <c r="P924" s="117" t="s">
        <v>112</v>
      </c>
      <c r="Q924" s="163">
        <f t="shared" si="349"/>
        <v>0.625</v>
      </c>
      <c r="R924" s="161">
        <v>1</v>
      </c>
      <c r="S924" s="163">
        <f t="shared" si="350"/>
        <v>1.625</v>
      </c>
      <c r="T924" s="162" t="s">
        <v>48</v>
      </c>
    </row>
    <row r="925" spans="3:20" ht="20.25" customHeight="1">
      <c r="C925" s="109"/>
      <c r="D925" s="115">
        <f t="shared" si="331"/>
        <v>925</v>
      </c>
      <c r="E925" s="119" t="s">
        <v>309</v>
      </c>
      <c r="F925" s="121">
        <f t="shared" si="347"/>
        <v>924</v>
      </c>
      <c r="G925" s="118" t="s">
        <v>61</v>
      </c>
      <c r="H925" s="118"/>
      <c r="I925" s="121">
        <f t="shared" si="351"/>
        <v>18</v>
      </c>
      <c r="J925" s="121" t="str">
        <f>J920</f>
        <v>0 mm</v>
      </c>
      <c r="K925" s="131">
        <v>1</v>
      </c>
      <c r="L925" s="131" t="s">
        <v>81</v>
      </c>
      <c r="M925" s="141">
        <f t="shared" si="348"/>
        <v>0</v>
      </c>
      <c r="N925" s="117" t="s">
        <v>139</v>
      </c>
      <c r="O925" s="175">
        <f>VLOOKUP(I925,BM!$A$2:$X$104,20,FALSE)</f>
        <v>0.5</v>
      </c>
      <c r="P925" s="117" t="s">
        <v>112</v>
      </c>
      <c r="Q925" s="163">
        <f t="shared" si="349"/>
        <v>0</v>
      </c>
      <c r="R925" s="161">
        <v>1</v>
      </c>
      <c r="S925" s="163">
        <f t="shared" si="350"/>
        <v>1</v>
      </c>
      <c r="T925" s="162" t="s">
        <v>48</v>
      </c>
    </row>
    <row r="926" spans="3:20" ht="20.25" customHeight="1">
      <c r="C926" s="109">
        <f>D926</f>
        <v>926</v>
      </c>
      <c r="D926" s="115">
        <f t="shared" si="331"/>
        <v>926</v>
      </c>
      <c r="E926" s="116" t="s">
        <v>310</v>
      </c>
      <c r="F926" s="121">
        <f>D921</f>
        <v>921</v>
      </c>
      <c r="G926" s="118"/>
      <c r="H926" s="118"/>
      <c r="I926" s="117"/>
      <c r="J926" s="117"/>
      <c r="K926" s="131"/>
      <c r="L926" s="131"/>
      <c r="M926" s="132"/>
      <c r="N926" s="117"/>
      <c r="O926" s="133"/>
      <c r="P926" s="117"/>
      <c r="Q926" s="163"/>
      <c r="R926" s="161"/>
      <c r="S926" s="163"/>
      <c r="T926" s="162"/>
    </row>
    <row r="927" spans="3:20" ht="20.25" customHeight="1">
      <c r="C927" s="109"/>
      <c r="D927" s="115">
        <f t="shared" si="331"/>
        <v>927</v>
      </c>
      <c r="E927" s="119" t="s">
        <v>311</v>
      </c>
      <c r="F927" s="121">
        <f t="shared" ref="F927:F930" si="352">D926</f>
        <v>926</v>
      </c>
      <c r="G927" s="118" t="s">
        <v>312</v>
      </c>
      <c r="H927" s="118"/>
      <c r="I927" s="121">
        <f>I925</f>
        <v>18</v>
      </c>
      <c r="J927" s="121" t="str">
        <f>J922</f>
        <v>2500 mm</v>
      </c>
      <c r="K927" s="131">
        <v>1</v>
      </c>
      <c r="L927" s="131" t="s">
        <v>81</v>
      </c>
      <c r="M927" s="132">
        <v>1</v>
      </c>
      <c r="N927" s="117" t="s">
        <v>39</v>
      </c>
      <c r="O927" s="133">
        <v>1</v>
      </c>
      <c r="P927" s="117" t="s">
        <v>41</v>
      </c>
      <c r="Q927" s="163">
        <f t="shared" ref="Q927:Q935" si="353">M927*O927</f>
        <v>1</v>
      </c>
      <c r="R927" s="161"/>
      <c r="S927" s="163">
        <f t="shared" ref="S927:S930" si="354">Q927+R927</f>
        <v>1</v>
      </c>
      <c r="T927" s="165" t="s">
        <v>41</v>
      </c>
    </row>
    <row r="928" spans="3:20" ht="20.25" customHeight="1">
      <c r="C928" s="109"/>
      <c r="D928" s="115">
        <f t="shared" si="331"/>
        <v>928</v>
      </c>
      <c r="E928" s="119" t="s">
        <v>311</v>
      </c>
      <c r="F928" s="121">
        <f t="shared" si="352"/>
        <v>927</v>
      </c>
      <c r="G928" s="118" t="s">
        <v>312</v>
      </c>
      <c r="H928" s="118"/>
      <c r="I928" s="121">
        <f t="shared" ref="I928:I930" si="355">I927</f>
        <v>18</v>
      </c>
      <c r="J928" s="121" t="str">
        <f>J923</f>
        <v>2500 mm</v>
      </c>
      <c r="K928" s="131">
        <v>1</v>
      </c>
      <c r="L928" s="131" t="s">
        <v>81</v>
      </c>
      <c r="M928" s="132">
        <v>1</v>
      </c>
      <c r="N928" s="117" t="s">
        <v>39</v>
      </c>
      <c r="O928" s="175">
        <f t="shared" ref="O928:P928" si="356">O927</f>
        <v>1</v>
      </c>
      <c r="P928" s="121" t="str">
        <f t="shared" si="356"/>
        <v>Day</v>
      </c>
      <c r="Q928" s="163">
        <f t="shared" si="353"/>
        <v>1</v>
      </c>
      <c r="R928" s="161"/>
      <c r="S928" s="163">
        <f t="shared" si="354"/>
        <v>1</v>
      </c>
      <c r="T928" s="165" t="s">
        <v>41</v>
      </c>
    </row>
    <row r="929" spans="3:20" ht="20.25" customHeight="1">
      <c r="C929" s="109"/>
      <c r="D929" s="115">
        <f t="shared" si="331"/>
        <v>929</v>
      </c>
      <c r="E929" s="119" t="s">
        <v>311</v>
      </c>
      <c r="F929" s="121">
        <f t="shared" si="352"/>
        <v>928</v>
      </c>
      <c r="G929" s="118" t="s">
        <v>312</v>
      </c>
      <c r="H929" s="118"/>
      <c r="I929" s="121">
        <f t="shared" si="355"/>
        <v>18</v>
      </c>
      <c r="J929" s="121" t="str">
        <f>J924</f>
        <v>1250 mm</v>
      </c>
      <c r="K929" s="131">
        <v>1</v>
      </c>
      <c r="L929" s="131" t="s">
        <v>81</v>
      </c>
      <c r="M929" s="132">
        <v>1</v>
      </c>
      <c r="N929" s="117" t="s">
        <v>39</v>
      </c>
      <c r="O929" s="175">
        <f t="shared" ref="O929:P929" si="357">O928</f>
        <v>1</v>
      </c>
      <c r="P929" s="121" t="str">
        <f t="shared" si="357"/>
        <v>Day</v>
      </c>
      <c r="Q929" s="163">
        <f t="shared" si="353"/>
        <v>1</v>
      </c>
      <c r="R929" s="161"/>
      <c r="S929" s="163">
        <f t="shared" si="354"/>
        <v>1</v>
      </c>
      <c r="T929" s="165" t="s">
        <v>41</v>
      </c>
    </row>
    <row r="930" spans="3:20" ht="20.25" customHeight="1">
      <c r="C930" s="109"/>
      <c r="D930" s="115">
        <f t="shared" si="331"/>
        <v>930</v>
      </c>
      <c r="E930" s="119" t="s">
        <v>311</v>
      </c>
      <c r="F930" s="121">
        <f t="shared" si="352"/>
        <v>929</v>
      </c>
      <c r="G930" s="118" t="s">
        <v>312</v>
      </c>
      <c r="H930" s="118"/>
      <c r="I930" s="121">
        <f t="shared" si="355"/>
        <v>18</v>
      </c>
      <c r="J930" s="121" t="str">
        <f>J925</f>
        <v>0 mm</v>
      </c>
      <c r="K930" s="131">
        <v>1</v>
      </c>
      <c r="L930" s="131" t="s">
        <v>81</v>
      </c>
      <c r="M930" s="132">
        <v>1</v>
      </c>
      <c r="N930" s="117" t="s">
        <v>39</v>
      </c>
      <c r="O930" s="175">
        <f t="shared" ref="O930:P930" si="358">O929</f>
        <v>1</v>
      </c>
      <c r="P930" s="121" t="str">
        <f t="shared" si="358"/>
        <v>Day</v>
      </c>
      <c r="Q930" s="163">
        <f t="shared" si="353"/>
        <v>1</v>
      </c>
      <c r="R930" s="161"/>
      <c r="S930" s="163">
        <f t="shared" si="354"/>
        <v>1</v>
      </c>
      <c r="T930" s="165" t="s">
        <v>41</v>
      </c>
    </row>
    <row r="931" spans="3:20" ht="20.25" customHeight="1">
      <c r="C931" s="109">
        <f>D931</f>
        <v>931</v>
      </c>
      <c r="D931" s="115">
        <f t="shared" si="331"/>
        <v>931</v>
      </c>
      <c r="E931" s="116" t="s">
        <v>314</v>
      </c>
      <c r="F931" s="121">
        <f>D926</f>
        <v>926</v>
      </c>
      <c r="G931" s="118"/>
      <c r="H931" s="118"/>
      <c r="I931" s="117"/>
      <c r="J931" s="117"/>
      <c r="K931" s="131"/>
      <c r="L931" s="131"/>
      <c r="M931" s="132"/>
      <c r="N931" s="117"/>
      <c r="O931" s="133"/>
      <c r="P931" s="117"/>
      <c r="Q931" s="163">
        <f t="shared" si="353"/>
        <v>0</v>
      </c>
      <c r="R931" s="161"/>
      <c r="S931" s="163"/>
      <c r="T931" s="162"/>
    </row>
    <row r="932" spans="3:20" ht="20.25" customHeight="1">
      <c r="C932" s="109"/>
      <c r="D932" s="115">
        <f t="shared" si="331"/>
        <v>932</v>
      </c>
      <c r="E932" s="119" t="s">
        <v>314</v>
      </c>
      <c r="F932" s="121">
        <f t="shared" ref="F932:F935" si="359">D931</f>
        <v>931</v>
      </c>
      <c r="G932" s="118" t="s">
        <v>286</v>
      </c>
      <c r="H932" s="118"/>
      <c r="I932" s="121">
        <f>I930</f>
        <v>18</v>
      </c>
      <c r="J932" s="121" t="str">
        <f>J927</f>
        <v>2500 mm</v>
      </c>
      <c r="K932" s="131">
        <v>1</v>
      </c>
      <c r="L932" s="131" t="s">
        <v>81</v>
      </c>
      <c r="M932" s="155">
        <f>K932</f>
        <v>1</v>
      </c>
      <c r="N932" s="117" t="s">
        <v>39</v>
      </c>
      <c r="O932" s="133">
        <v>3</v>
      </c>
      <c r="P932" s="117" t="s">
        <v>112</v>
      </c>
      <c r="Q932" s="163">
        <f t="shared" si="353"/>
        <v>3</v>
      </c>
      <c r="R932" s="161">
        <v>1</v>
      </c>
      <c r="S932" s="163">
        <f t="shared" ref="S932:S935" si="360">Q932+R932</f>
        <v>4</v>
      </c>
      <c r="T932" s="165" t="s">
        <v>48</v>
      </c>
    </row>
    <row r="933" spans="3:20" ht="20.25" customHeight="1">
      <c r="C933" s="109"/>
      <c r="D933" s="115">
        <f t="shared" si="331"/>
        <v>933</v>
      </c>
      <c r="E933" s="119" t="s">
        <v>314</v>
      </c>
      <c r="F933" s="121">
        <f t="shared" si="359"/>
        <v>932</v>
      </c>
      <c r="G933" s="118" t="s">
        <v>286</v>
      </c>
      <c r="H933" s="118"/>
      <c r="I933" s="121">
        <f>I930</f>
        <v>18</v>
      </c>
      <c r="J933" s="121" t="str">
        <f>J928</f>
        <v>2500 mm</v>
      </c>
      <c r="K933" s="131">
        <v>1</v>
      </c>
      <c r="L933" s="131" t="s">
        <v>81</v>
      </c>
      <c r="M933" s="155">
        <f>K933</f>
        <v>1</v>
      </c>
      <c r="N933" s="117" t="s">
        <v>39</v>
      </c>
      <c r="O933" s="175">
        <f>O932</f>
        <v>3</v>
      </c>
      <c r="P933" s="117" t="s">
        <v>112</v>
      </c>
      <c r="Q933" s="163">
        <f t="shared" si="353"/>
        <v>3</v>
      </c>
      <c r="R933" s="161">
        <v>1</v>
      </c>
      <c r="S933" s="163">
        <f t="shared" si="360"/>
        <v>4</v>
      </c>
      <c r="T933" s="165" t="s">
        <v>48</v>
      </c>
    </row>
    <row r="934" spans="3:20" ht="20.25" customHeight="1">
      <c r="C934" s="109"/>
      <c r="D934" s="115">
        <f t="shared" si="331"/>
        <v>934</v>
      </c>
      <c r="E934" s="119" t="s">
        <v>314</v>
      </c>
      <c r="F934" s="121">
        <f t="shared" si="359"/>
        <v>933</v>
      </c>
      <c r="G934" s="118" t="s">
        <v>286</v>
      </c>
      <c r="H934" s="118"/>
      <c r="I934" s="121">
        <f>I930</f>
        <v>18</v>
      </c>
      <c r="J934" s="121" t="str">
        <f>J929</f>
        <v>1250 mm</v>
      </c>
      <c r="K934" s="131">
        <v>1</v>
      </c>
      <c r="L934" s="131" t="s">
        <v>81</v>
      </c>
      <c r="M934" s="155">
        <f>K934</f>
        <v>1</v>
      </c>
      <c r="N934" s="117" t="s">
        <v>39</v>
      </c>
      <c r="O934" s="175">
        <f>O933</f>
        <v>3</v>
      </c>
      <c r="P934" s="117" t="s">
        <v>112</v>
      </c>
      <c r="Q934" s="163">
        <f t="shared" si="353"/>
        <v>3</v>
      </c>
      <c r="R934" s="161">
        <v>1</v>
      </c>
      <c r="S934" s="163">
        <f t="shared" si="360"/>
        <v>4</v>
      </c>
      <c r="T934" s="165" t="s">
        <v>48</v>
      </c>
    </row>
    <row r="935" spans="3:20" ht="20.25" customHeight="1">
      <c r="C935" s="109"/>
      <c r="D935" s="115">
        <f t="shared" si="331"/>
        <v>935</v>
      </c>
      <c r="E935" s="119" t="s">
        <v>314</v>
      </c>
      <c r="F935" s="121">
        <f t="shared" si="359"/>
        <v>934</v>
      </c>
      <c r="G935" s="118" t="s">
        <v>286</v>
      </c>
      <c r="H935" s="118"/>
      <c r="I935" s="121">
        <f>I930</f>
        <v>18</v>
      </c>
      <c r="J935" s="121" t="str">
        <f>J930</f>
        <v>0 mm</v>
      </c>
      <c r="K935" s="131">
        <v>1</v>
      </c>
      <c r="L935" s="131" t="s">
        <v>81</v>
      </c>
      <c r="M935" s="155">
        <f>K935</f>
        <v>1</v>
      </c>
      <c r="N935" s="117" t="s">
        <v>39</v>
      </c>
      <c r="O935" s="175">
        <f>O934</f>
        <v>3</v>
      </c>
      <c r="P935" s="117" t="s">
        <v>112</v>
      </c>
      <c r="Q935" s="163">
        <f t="shared" si="353"/>
        <v>3</v>
      </c>
      <c r="R935" s="161">
        <v>1</v>
      </c>
      <c r="S935" s="163">
        <f t="shared" si="360"/>
        <v>4</v>
      </c>
      <c r="T935" s="165" t="s">
        <v>48</v>
      </c>
    </row>
    <row r="936" spans="3:20" ht="20.25" customHeight="1">
      <c r="C936" s="109">
        <f>D936</f>
        <v>936</v>
      </c>
      <c r="D936" s="115">
        <f t="shared" si="331"/>
        <v>936</v>
      </c>
      <c r="E936" s="116" t="s">
        <v>315</v>
      </c>
      <c r="F936" s="121">
        <f>D931</f>
        <v>931</v>
      </c>
      <c r="G936" s="118"/>
      <c r="H936" s="118"/>
      <c r="I936" s="117"/>
      <c r="J936" s="117"/>
      <c r="K936" s="131"/>
      <c r="L936" s="131"/>
      <c r="M936" s="132"/>
      <c r="N936" s="117"/>
      <c r="O936" s="133"/>
      <c r="P936" s="117"/>
      <c r="Q936" s="163"/>
      <c r="R936" s="161"/>
      <c r="S936" s="163"/>
      <c r="T936" s="162"/>
    </row>
    <row r="937" spans="3:20" ht="20.25" customHeight="1">
      <c r="C937" s="109"/>
      <c r="D937" s="115">
        <f t="shared" si="331"/>
        <v>937</v>
      </c>
      <c r="E937" s="119" t="s">
        <v>316</v>
      </c>
      <c r="F937" s="121">
        <f t="shared" ref="F937:F940" si="361">D936</f>
        <v>936</v>
      </c>
      <c r="G937" s="118" t="s">
        <v>44</v>
      </c>
      <c r="H937" s="118"/>
      <c r="I937" s="117">
        <v>18</v>
      </c>
      <c r="J937" s="125" t="s">
        <v>317</v>
      </c>
      <c r="K937" s="131">
        <v>1</v>
      </c>
      <c r="L937" s="131" t="s">
        <v>81</v>
      </c>
      <c r="M937" s="141">
        <f>LEFT(J937,SEARCH(" ",J937,1)-1)*3.142*K937*0.001</f>
        <v>4.9015199999999997</v>
      </c>
      <c r="N937" s="117" t="s">
        <v>139</v>
      </c>
      <c r="O937" s="175">
        <f>VLOOKUP(I937,BM!$A$2:$X$104,10,FALSE)</f>
        <v>1</v>
      </c>
      <c r="P937" s="117" t="s">
        <v>112</v>
      </c>
      <c r="Q937" s="163">
        <f t="shared" ref="Q937:Q940" si="362">M937*O937</f>
        <v>4.9015199999999997</v>
      </c>
      <c r="R937" s="161">
        <v>1</v>
      </c>
      <c r="S937" s="163">
        <f t="shared" ref="S937:S940" si="363">Q937+R937</f>
        <v>5.9015199999999997</v>
      </c>
      <c r="T937" s="165" t="s">
        <v>48</v>
      </c>
    </row>
    <row r="938" spans="3:20" ht="20.25" customHeight="1">
      <c r="C938" s="109"/>
      <c r="D938" s="115">
        <f t="shared" si="331"/>
        <v>938</v>
      </c>
      <c r="E938" s="119" t="s">
        <v>316</v>
      </c>
      <c r="F938" s="121">
        <f t="shared" si="361"/>
        <v>937</v>
      </c>
      <c r="G938" s="118" t="s">
        <v>44</v>
      </c>
      <c r="H938" s="118"/>
      <c r="I938" s="117">
        <v>18</v>
      </c>
      <c r="J938" s="125" t="str">
        <f>J937</f>
        <v>1560 mm id</v>
      </c>
      <c r="K938" s="131">
        <v>1</v>
      </c>
      <c r="L938" s="131" t="s">
        <v>81</v>
      </c>
      <c r="M938" s="141">
        <f t="shared" ref="M938:M940" si="364">LEFT(J938,SEARCH(" ",J938,1)-1)*3.142*K938*0.001</f>
        <v>4.9015199999999997</v>
      </c>
      <c r="N938" s="117" t="s">
        <v>139</v>
      </c>
      <c r="O938" s="175">
        <f>VLOOKUP(I938,BM!$A$2:$X$104,10,FALSE)</f>
        <v>1</v>
      </c>
      <c r="P938" s="117" t="s">
        <v>112</v>
      </c>
      <c r="Q938" s="163">
        <f t="shared" si="362"/>
        <v>4.9015199999999997</v>
      </c>
      <c r="R938" s="161">
        <v>1</v>
      </c>
      <c r="S938" s="163">
        <f t="shared" si="363"/>
        <v>5.9015199999999997</v>
      </c>
      <c r="T938" s="165" t="s">
        <v>48</v>
      </c>
    </row>
    <row r="939" spans="3:20" ht="20.25" customHeight="1">
      <c r="C939" s="109"/>
      <c r="D939" s="115">
        <f t="shared" si="331"/>
        <v>939</v>
      </c>
      <c r="E939" s="119" t="s">
        <v>316</v>
      </c>
      <c r="F939" s="121">
        <f t="shared" si="361"/>
        <v>938</v>
      </c>
      <c r="G939" s="118" t="s">
        <v>44</v>
      </c>
      <c r="H939" s="118"/>
      <c r="I939" s="117">
        <v>18</v>
      </c>
      <c r="J939" s="125" t="str">
        <f>J938</f>
        <v>1560 mm id</v>
      </c>
      <c r="K939" s="131">
        <v>1</v>
      </c>
      <c r="L939" s="131" t="s">
        <v>81</v>
      </c>
      <c r="M939" s="141">
        <f t="shared" si="364"/>
        <v>4.9015199999999997</v>
      </c>
      <c r="N939" s="117" t="s">
        <v>139</v>
      </c>
      <c r="O939" s="175">
        <f>VLOOKUP(I939,BM!$A$2:$X$104,10,FALSE)</f>
        <v>1</v>
      </c>
      <c r="P939" s="117" t="s">
        <v>112</v>
      </c>
      <c r="Q939" s="163">
        <f t="shared" si="362"/>
        <v>4.9015199999999997</v>
      </c>
      <c r="R939" s="161">
        <v>1</v>
      </c>
      <c r="S939" s="163">
        <f t="shared" si="363"/>
        <v>5.9015199999999997</v>
      </c>
      <c r="T939" s="165" t="s">
        <v>48</v>
      </c>
    </row>
    <row r="940" spans="3:20" ht="20.25" customHeight="1">
      <c r="C940" s="109"/>
      <c r="D940" s="115">
        <f t="shared" si="331"/>
        <v>940</v>
      </c>
      <c r="E940" s="119" t="s">
        <v>316</v>
      </c>
      <c r="F940" s="121">
        <f t="shared" si="361"/>
        <v>939</v>
      </c>
      <c r="G940" s="118" t="s">
        <v>44</v>
      </c>
      <c r="H940" s="118"/>
      <c r="I940" s="117">
        <v>18</v>
      </c>
      <c r="J940" s="125" t="s">
        <v>318</v>
      </c>
      <c r="K940" s="131">
        <v>1</v>
      </c>
      <c r="L940" s="131" t="s">
        <v>81</v>
      </c>
      <c r="M940" s="141">
        <f t="shared" si="364"/>
        <v>0</v>
      </c>
      <c r="N940" s="117" t="s">
        <v>139</v>
      </c>
      <c r="O940" s="175">
        <f>VLOOKUP(I940,BM!$A$2:$X$104,10,FALSE)</f>
        <v>1</v>
      </c>
      <c r="P940" s="117" t="s">
        <v>112</v>
      </c>
      <c r="Q940" s="163">
        <f t="shared" si="362"/>
        <v>0</v>
      </c>
      <c r="R940" s="161">
        <v>1</v>
      </c>
      <c r="S940" s="163">
        <f t="shared" si="363"/>
        <v>1</v>
      </c>
      <c r="T940" s="165" t="s">
        <v>48</v>
      </c>
    </row>
    <row r="941" spans="3:20" ht="20.25" customHeight="1">
      <c r="C941" s="109">
        <f>D941</f>
        <v>941</v>
      </c>
      <c r="D941" s="115">
        <f t="shared" si="331"/>
        <v>941</v>
      </c>
      <c r="E941" s="116" t="s">
        <v>319</v>
      </c>
      <c r="F941" s="121">
        <f>D936</f>
        <v>936</v>
      </c>
      <c r="G941" s="118"/>
      <c r="H941" s="118"/>
      <c r="I941" s="117"/>
      <c r="J941" s="117"/>
      <c r="K941" s="131"/>
      <c r="L941" s="131"/>
      <c r="M941" s="132"/>
      <c r="N941" s="117"/>
      <c r="O941" s="133"/>
      <c r="P941" s="117"/>
      <c r="Q941" s="163"/>
      <c r="R941" s="161"/>
      <c r="S941" s="163"/>
      <c r="T941" s="162"/>
    </row>
    <row r="942" spans="3:20" ht="20.25" customHeight="1">
      <c r="C942" s="109"/>
      <c r="D942" s="115">
        <f t="shared" si="331"/>
        <v>942</v>
      </c>
      <c r="E942" s="119" t="s">
        <v>320</v>
      </c>
      <c r="F942" s="121">
        <f t="shared" ref="F942:F943" si="365">D941</f>
        <v>941</v>
      </c>
      <c r="G942" s="118" t="s">
        <v>299</v>
      </c>
      <c r="H942" s="118"/>
      <c r="I942" s="117">
        <v>18</v>
      </c>
      <c r="J942" s="125" t="str">
        <f>J939</f>
        <v>1560 mm id</v>
      </c>
      <c r="K942" s="131">
        <v>1</v>
      </c>
      <c r="L942" s="131" t="s">
        <v>81</v>
      </c>
      <c r="M942" s="141">
        <f t="shared" ref="M942:M943" si="366">LEFT(J942,SEARCH(" ",J942,1)-1)*3.142*K942*0.001</f>
        <v>4.9015199999999997</v>
      </c>
      <c r="N942" s="117" t="s">
        <v>139</v>
      </c>
      <c r="O942" s="175">
        <f>VLOOKUP(I942,BM!$A$2:$X$104,10,FALSE)</f>
        <v>1</v>
      </c>
      <c r="P942" s="117" t="s">
        <v>112</v>
      </c>
      <c r="Q942" s="163">
        <f t="shared" ref="Q942:Q943" si="367">M942*O942</f>
        <v>4.9015199999999997</v>
      </c>
      <c r="R942" s="161">
        <v>1</v>
      </c>
      <c r="S942" s="163">
        <f t="shared" ref="S942:S943" si="368">Q942+R942</f>
        <v>5.9015199999999997</v>
      </c>
      <c r="T942" s="165" t="s">
        <v>48</v>
      </c>
    </row>
    <row r="943" spans="3:20" ht="20.25" customHeight="1">
      <c r="C943" s="109"/>
      <c r="D943" s="115">
        <f t="shared" si="331"/>
        <v>943</v>
      </c>
      <c r="E943" s="119" t="s">
        <v>321</v>
      </c>
      <c r="F943" s="121">
        <f t="shared" si="365"/>
        <v>942</v>
      </c>
      <c r="G943" s="118" t="s">
        <v>44</v>
      </c>
      <c r="H943" s="118"/>
      <c r="I943" s="117">
        <v>18</v>
      </c>
      <c r="J943" s="125" t="str">
        <f t="shared" ref="J943" si="369">J942</f>
        <v>1560 mm id</v>
      </c>
      <c r="K943" s="131">
        <v>1</v>
      </c>
      <c r="L943" s="131" t="s">
        <v>81</v>
      </c>
      <c r="M943" s="141">
        <f t="shared" si="366"/>
        <v>4.9015199999999997</v>
      </c>
      <c r="N943" s="117" t="s">
        <v>139</v>
      </c>
      <c r="O943" s="133">
        <v>1</v>
      </c>
      <c r="P943" s="117" t="s">
        <v>112</v>
      </c>
      <c r="Q943" s="163">
        <f t="shared" si="367"/>
        <v>4.9015199999999997</v>
      </c>
      <c r="R943" s="161">
        <v>1</v>
      </c>
      <c r="S943" s="163">
        <f t="shared" si="368"/>
        <v>5.9015199999999997</v>
      </c>
      <c r="T943" s="165" t="s">
        <v>48</v>
      </c>
    </row>
    <row r="944" spans="3:20" ht="20.25" customHeight="1">
      <c r="C944" s="109">
        <f>D944</f>
        <v>944</v>
      </c>
      <c r="D944" s="115">
        <f t="shared" si="331"/>
        <v>944</v>
      </c>
      <c r="E944" s="116" t="s">
        <v>322</v>
      </c>
      <c r="F944" s="121">
        <f>D941</f>
        <v>941</v>
      </c>
      <c r="G944" s="118"/>
      <c r="H944" s="118"/>
      <c r="I944" s="117"/>
      <c r="J944" s="117"/>
      <c r="K944" s="131"/>
      <c r="L944" s="131"/>
      <c r="M944" s="132"/>
      <c r="N944" s="117"/>
      <c r="O944" s="133"/>
      <c r="P944" s="117"/>
      <c r="Q944" s="163"/>
      <c r="R944" s="161"/>
      <c r="S944" s="163"/>
      <c r="T944" s="162"/>
    </row>
    <row r="945" spans="3:20" ht="20.25" customHeight="1">
      <c r="C945" s="109"/>
      <c r="D945" s="115">
        <f t="shared" si="331"/>
        <v>945</v>
      </c>
      <c r="E945" s="119" t="s">
        <v>323</v>
      </c>
      <c r="F945" s="121">
        <f t="shared" ref="F945:F949" si="370">D944</f>
        <v>944</v>
      </c>
      <c r="G945" s="118" t="s">
        <v>44</v>
      </c>
      <c r="H945" s="118"/>
      <c r="I945" s="117">
        <v>18</v>
      </c>
      <c r="J945" s="117" t="str">
        <f>J943</f>
        <v>1560 mm id</v>
      </c>
      <c r="K945" s="131">
        <v>1</v>
      </c>
      <c r="L945" s="131" t="s">
        <v>81</v>
      </c>
      <c r="M945" s="132">
        <v>1</v>
      </c>
      <c r="N945" s="145" t="s">
        <v>81</v>
      </c>
      <c r="O945" s="133">
        <v>1</v>
      </c>
      <c r="P945" s="117" t="s">
        <v>112</v>
      </c>
      <c r="Q945" s="163">
        <f t="shared" ref="Q945:Q949" si="371">M945*O945</f>
        <v>1</v>
      </c>
      <c r="R945" s="161">
        <v>1</v>
      </c>
      <c r="S945" s="163">
        <f t="shared" ref="S945:S949" si="372">Q945+R945</f>
        <v>2</v>
      </c>
      <c r="T945" s="165" t="s">
        <v>48</v>
      </c>
    </row>
    <row r="946" spans="3:20" ht="20.25" customHeight="1">
      <c r="C946" s="109"/>
      <c r="D946" s="115">
        <f t="shared" si="331"/>
        <v>946</v>
      </c>
      <c r="E946" s="119" t="s">
        <v>324</v>
      </c>
      <c r="F946" s="121">
        <f t="shared" si="370"/>
        <v>945</v>
      </c>
      <c r="G946" s="118" t="s">
        <v>115</v>
      </c>
      <c r="H946" s="118"/>
      <c r="I946" s="121">
        <f>12</f>
        <v>12</v>
      </c>
      <c r="J946" s="117" t="str">
        <f>J945</f>
        <v>1560 mm id</v>
      </c>
      <c r="K946" s="131">
        <v>1</v>
      </c>
      <c r="L946" s="131" t="s">
        <v>81</v>
      </c>
      <c r="M946" s="141">
        <f t="shared" ref="M946:M949" si="373">LEFT(J946,SEARCH(" ",J946,1)-1)*3.142*K946*0.001</f>
        <v>4.9015199999999997</v>
      </c>
      <c r="N946" s="117" t="s">
        <v>139</v>
      </c>
      <c r="O946" s="175">
        <f>VLOOKUP(I946,BM!$A$2:$X$104,17,FALSE)</f>
        <v>2.5</v>
      </c>
      <c r="P946" s="117" t="s">
        <v>112</v>
      </c>
      <c r="Q946" s="163">
        <f t="shared" si="371"/>
        <v>12.253799999999998</v>
      </c>
      <c r="R946" s="161">
        <v>1</v>
      </c>
      <c r="S946" s="163">
        <f t="shared" si="372"/>
        <v>13.253799999999998</v>
      </c>
      <c r="T946" s="165" t="s">
        <v>48</v>
      </c>
    </row>
    <row r="947" spans="3:20" ht="20.25" customHeight="1">
      <c r="C947" s="109"/>
      <c r="D947" s="115">
        <f t="shared" si="331"/>
        <v>947</v>
      </c>
      <c r="E947" s="119" t="s">
        <v>325</v>
      </c>
      <c r="F947" s="121">
        <f t="shared" si="370"/>
        <v>946</v>
      </c>
      <c r="G947" s="118" t="s">
        <v>61</v>
      </c>
      <c r="H947" s="118"/>
      <c r="I947" s="121">
        <f>18</f>
        <v>18</v>
      </c>
      <c r="J947" s="117" t="str">
        <f>J946</f>
        <v>1560 mm id</v>
      </c>
      <c r="K947" s="131">
        <v>1</v>
      </c>
      <c r="L947" s="131" t="s">
        <v>81</v>
      </c>
      <c r="M947" s="141">
        <f t="shared" si="373"/>
        <v>4.9015199999999997</v>
      </c>
      <c r="N947" s="117" t="s">
        <v>139</v>
      </c>
      <c r="O947" s="175">
        <f>VLOOKUP(I947,BM!$A$2:$X$104,18,FALSE)</f>
        <v>1</v>
      </c>
      <c r="P947" s="117" t="s">
        <v>112</v>
      </c>
      <c r="Q947" s="163">
        <f t="shared" si="371"/>
        <v>4.9015199999999997</v>
      </c>
      <c r="R947" s="161">
        <v>1</v>
      </c>
      <c r="S947" s="163">
        <f t="shared" si="372"/>
        <v>5.9015199999999997</v>
      </c>
      <c r="T947" s="165" t="s">
        <v>48</v>
      </c>
    </row>
    <row r="948" spans="3:20" ht="20.25" customHeight="1">
      <c r="C948" s="109"/>
      <c r="D948" s="115">
        <f t="shared" si="331"/>
        <v>948</v>
      </c>
      <c r="E948" s="119" t="s">
        <v>326</v>
      </c>
      <c r="F948" s="121">
        <f t="shared" si="370"/>
        <v>947</v>
      </c>
      <c r="G948" s="118" t="s">
        <v>115</v>
      </c>
      <c r="H948" s="118"/>
      <c r="I948" s="117">
        <v>6</v>
      </c>
      <c r="J948" s="117" t="str">
        <f>J947</f>
        <v>1560 mm id</v>
      </c>
      <c r="K948" s="131">
        <v>1</v>
      </c>
      <c r="L948" s="131" t="s">
        <v>81</v>
      </c>
      <c r="M948" s="141">
        <f t="shared" si="373"/>
        <v>4.9015199999999997</v>
      </c>
      <c r="N948" s="117" t="s">
        <v>139</v>
      </c>
      <c r="O948" s="175">
        <f>VLOOKUP(I948,BM!$A$2:$X$104,17,FALSE)</f>
        <v>0.9</v>
      </c>
      <c r="P948" s="117" t="s">
        <v>112</v>
      </c>
      <c r="Q948" s="163">
        <f t="shared" si="371"/>
        <v>4.4113679999999995</v>
      </c>
      <c r="R948" s="161">
        <v>1</v>
      </c>
      <c r="S948" s="163">
        <f t="shared" si="372"/>
        <v>5.4113679999999995</v>
      </c>
      <c r="T948" s="165" t="s">
        <v>48</v>
      </c>
    </row>
    <row r="949" spans="3:20" ht="20.25" customHeight="1">
      <c r="C949" s="109"/>
      <c r="D949" s="115">
        <f t="shared" si="331"/>
        <v>949</v>
      </c>
      <c r="E949" s="119" t="s">
        <v>327</v>
      </c>
      <c r="F949" s="121">
        <f t="shared" si="370"/>
        <v>948</v>
      </c>
      <c r="G949" s="118" t="s">
        <v>61</v>
      </c>
      <c r="H949" s="118"/>
      <c r="I949" s="117">
        <v>18</v>
      </c>
      <c r="J949" s="117" t="str">
        <f>J948</f>
        <v>1560 mm id</v>
      </c>
      <c r="K949" s="131">
        <v>1</v>
      </c>
      <c r="L949" s="131" t="s">
        <v>81</v>
      </c>
      <c r="M949" s="141">
        <f t="shared" si="373"/>
        <v>4.9015199999999997</v>
      </c>
      <c r="N949" s="117" t="s">
        <v>139</v>
      </c>
      <c r="O949" s="175">
        <f>VLOOKUP(I949,BM!$A$2:$X$104,20,FALSE)</f>
        <v>0.5</v>
      </c>
      <c r="P949" s="117" t="s">
        <v>112</v>
      </c>
      <c r="Q949" s="163">
        <f t="shared" si="371"/>
        <v>2.4507599999999998</v>
      </c>
      <c r="R949" s="161">
        <v>1</v>
      </c>
      <c r="S949" s="163">
        <f t="shared" si="372"/>
        <v>3.4507599999999998</v>
      </c>
      <c r="T949" s="165" t="s">
        <v>48</v>
      </c>
    </row>
    <row r="950" spans="3:20" ht="20.25" customHeight="1">
      <c r="C950" s="109">
        <f>D950</f>
        <v>950</v>
      </c>
      <c r="D950" s="115">
        <f t="shared" si="331"/>
        <v>950</v>
      </c>
      <c r="E950" s="116" t="s">
        <v>328</v>
      </c>
      <c r="F950" s="121">
        <f>D944</f>
        <v>944</v>
      </c>
      <c r="G950" s="118"/>
      <c r="H950" s="118"/>
      <c r="I950" s="117"/>
      <c r="J950" s="117"/>
      <c r="K950" s="131"/>
      <c r="L950" s="131"/>
      <c r="M950" s="132"/>
      <c r="N950" s="117"/>
      <c r="O950" s="133"/>
      <c r="P950" s="117"/>
      <c r="Q950" s="163"/>
      <c r="R950" s="161"/>
      <c r="S950" s="163"/>
      <c r="T950" s="162"/>
    </row>
    <row r="951" spans="3:20" ht="20.25" customHeight="1">
      <c r="C951" s="109"/>
      <c r="D951" s="115">
        <f t="shared" si="331"/>
        <v>951</v>
      </c>
      <c r="E951" s="119" t="s">
        <v>329</v>
      </c>
      <c r="F951" s="121">
        <f t="shared" ref="F951:F952" si="374">D950</f>
        <v>950</v>
      </c>
      <c r="G951" s="118" t="s">
        <v>299</v>
      </c>
      <c r="H951" s="118"/>
      <c r="I951" s="117">
        <v>18</v>
      </c>
      <c r="J951" s="117" t="str">
        <f>J949</f>
        <v>1560 mm id</v>
      </c>
      <c r="K951" s="131">
        <v>1</v>
      </c>
      <c r="L951" s="131" t="s">
        <v>81</v>
      </c>
      <c r="M951" s="141">
        <f t="shared" ref="M951:M952" si="375">LEFT(J951,SEARCH(" ",J951,1)-1)*3.142*K951*0.001</f>
        <v>4.9015199999999997</v>
      </c>
      <c r="N951" s="117" t="s">
        <v>139</v>
      </c>
      <c r="O951" s="175">
        <f>VLOOKUP(I951,BM!$A$2:$X$104,10,FALSE)</f>
        <v>1</v>
      </c>
      <c r="P951" s="117" t="s">
        <v>112</v>
      </c>
      <c r="Q951" s="163">
        <f t="shared" ref="Q951:Q958" si="376">M951*O951</f>
        <v>4.9015199999999997</v>
      </c>
      <c r="R951" s="161">
        <v>1</v>
      </c>
      <c r="S951" s="163">
        <f t="shared" ref="S951:S958" si="377">Q951+R951</f>
        <v>5.9015199999999997</v>
      </c>
      <c r="T951" s="165" t="s">
        <v>48</v>
      </c>
    </row>
    <row r="952" spans="3:20" ht="20.25" customHeight="1">
      <c r="C952" s="109"/>
      <c r="D952" s="115">
        <f t="shared" si="331"/>
        <v>952</v>
      </c>
      <c r="E952" s="119" t="s">
        <v>330</v>
      </c>
      <c r="F952" s="121">
        <f t="shared" si="374"/>
        <v>951</v>
      </c>
      <c r="G952" s="118" t="s">
        <v>44</v>
      </c>
      <c r="H952" s="118"/>
      <c r="I952" s="117">
        <v>18</v>
      </c>
      <c r="J952" s="117" t="str">
        <f>J949</f>
        <v>1560 mm id</v>
      </c>
      <c r="K952" s="131">
        <v>1</v>
      </c>
      <c r="L952" s="131" t="s">
        <v>81</v>
      </c>
      <c r="M952" s="141">
        <f t="shared" si="375"/>
        <v>4.9015199999999997</v>
      </c>
      <c r="N952" s="117" t="s">
        <v>139</v>
      </c>
      <c r="O952" s="133">
        <v>1</v>
      </c>
      <c r="P952" s="117" t="s">
        <v>112</v>
      </c>
      <c r="Q952" s="163">
        <f t="shared" si="376"/>
        <v>4.9015199999999997</v>
      </c>
      <c r="R952" s="161">
        <v>1</v>
      </c>
      <c r="S952" s="163">
        <f t="shared" si="377"/>
        <v>5.9015199999999997</v>
      </c>
      <c r="T952" s="165" t="s">
        <v>48</v>
      </c>
    </row>
    <row r="953" spans="3:20" ht="20.25" customHeight="1">
      <c r="C953" s="109">
        <f>D953</f>
        <v>953</v>
      </c>
      <c r="D953" s="115">
        <f t="shared" si="331"/>
        <v>953</v>
      </c>
      <c r="E953" s="116" t="s">
        <v>331</v>
      </c>
      <c r="F953" s="121">
        <f>D950</f>
        <v>950</v>
      </c>
      <c r="G953" s="118"/>
      <c r="H953" s="118"/>
      <c r="I953" s="117"/>
      <c r="J953" s="117"/>
      <c r="K953" s="131"/>
      <c r="L953" s="131"/>
      <c r="M953" s="132"/>
      <c r="N953" s="117"/>
      <c r="O953" s="133"/>
      <c r="P953" s="117"/>
      <c r="Q953" s="163">
        <f t="shared" si="376"/>
        <v>0</v>
      </c>
      <c r="R953" s="161"/>
      <c r="S953" s="163">
        <f t="shared" si="377"/>
        <v>0</v>
      </c>
      <c r="T953" s="162"/>
    </row>
    <row r="954" spans="3:20" ht="20.25" customHeight="1">
      <c r="C954" s="109"/>
      <c r="D954" s="115">
        <f t="shared" si="331"/>
        <v>954</v>
      </c>
      <c r="E954" s="119" t="s">
        <v>332</v>
      </c>
      <c r="F954" s="121">
        <f t="shared" ref="F954:F958" si="378">D953</f>
        <v>953</v>
      </c>
      <c r="G954" s="118" t="s">
        <v>44</v>
      </c>
      <c r="H954" s="118"/>
      <c r="I954" s="117">
        <v>18</v>
      </c>
      <c r="J954" s="117" t="str">
        <f>J949</f>
        <v>1560 mm id</v>
      </c>
      <c r="K954" s="131">
        <v>1</v>
      </c>
      <c r="L954" s="131" t="s">
        <v>81</v>
      </c>
      <c r="M954" s="132">
        <v>1</v>
      </c>
      <c r="N954" s="117" t="s">
        <v>139</v>
      </c>
      <c r="O954" s="133">
        <v>1</v>
      </c>
      <c r="P954" s="117" t="s">
        <v>112</v>
      </c>
      <c r="Q954" s="163">
        <f t="shared" si="376"/>
        <v>1</v>
      </c>
      <c r="R954" s="161">
        <v>1</v>
      </c>
      <c r="S954" s="163">
        <f t="shared" si="377"/>
        <v>2</v>
      </c>
      <c r="T954" s="165" t="s">
        <v>48</v>
      </c>
    </row>
    <row r="955" spans="3:20" ht="20.25" customHeight="1">
      <c r="C955" s="109"/>
      <c r="D955" s="115">
        <f t="shared" si="331"/>
        <v>955</v>
      </c>
      <c r="E955" s="119" t="s">
        <v>333</v>
      </c>
      <c r="F955" s="121">
        <f t="shared" si="378"/>
        <v>954</v>
      </c>
      <c r="G955" s="118" t="s">
        <v>115</v>
      </c>
      <c r="H955" s="118"/>
      <c r="I955" s="121">
        <f>12</f>
        <v>12</v>
      </c>
      <c r="J955" s="117" t="str">
        <f>J952</f>
        <v>1560 mm id</v>
      </c>
      <c r="K955" s="131">
        <v>1</v>
      </c>
      <c r="L955" s="131" t="s">
        <v>81</v>
      </c>
      <c r="M955" s="141">
        <f t="shared" ref="M955:M958" si="379">LEFT(J955,SEARCH(" ",J955,1)-1)*3.142*K955*0.001</f>
        <v>4.9015199999999997</v>
      </c>
      <c r="N955" s="117" t="s">
        <v>139</v>
      </c>
      <c r="O955" s="175">
        <f>VLOOKUP(I955,BM!$A$2:$X$104,17,FALSE)</f>
        <v>2.5</v>
      </c>
      <c r="P955" s="117" t="s">
        <v>112</v>
      </c>
      <c r="Q955" s="163">
        <f t="shared" si="376"/>
        <v>12.253799999999998</v>
      </c>
      <c r="R955" s="161">
        <v>1</v>
      </c>
      <c r="S955" s="163">
        <f t="shared" si="377"/>
        <v>13.253799999999998</v>
      </c>
      <c r="T955" s="165" t="s">
        <v>48</v>
      </c>
    </row>
    <row r="956" spans="3:20" ht="20.25" customHeight="1">
      <c r="C956" s="109"/>
      <c r="D956" s="115">
        <f t="shared" si="331"/>
        <v>956</v>
      </c>
      <c r="E956" s="119" t="s">
        <v>334</v>
      </c>
      <c r="F956" s="121">
        <f t="shared" si="378"/>
        <v>955</v>
      </c>
      <c r="G956" s="118" t="s">
        <v>61</v>
      </c>
      <c r="H956" s="118"/>
      <c r="I956" s="121">
        <f>18</f>
        <v>18</v>
      </c>
      <c r="J956" s="117" t="str">
        <f>J955</f>
        <v>1560 mm id</v>
      </c>
      <c r="K956" s="131">
        <v>1</v>
      </c>
      <c r="L956" s="131" t="s">
        <v>81</v>
      </c>
      <c r="M956" s="141">
        <f t="shared" si="379"/>
        <v>4.9015199999999997</v>
      </c>
      <c r="N956" s="117" t="s">
        <v>139</v>
      </c>
      <c r="O956" s="175">
        <f>VLOOKUP(I956,BM!$A$2:$X$104,18,FALSE)</f>
        <v>1</v>
      </c>
      <c r="P956" s="117" t="s">
        <v>112</v>
      </c>
      <c r="Q956" s="163">
        <f t="shared" si="376"/>
        <v>4.9015199999999997</v>
      </c>
      <c r="R956" s="161">
        <v>1</v>
      </c>
      <c r="S956" s="163">
        <f t="shared" si="377"/>
        <v>5.9015199999999997</v>
      </c>
      <c r="T956" s="165" t="s">
        <v>48</v>
      </c>
    </row>
    <row r="957" spans="3:20" ht="20.25" customHeight="1">
      <c r="C957" s="109"/>
      <c r="D957" s="115">
        <f t="shared" si="331"/>
        <v>957</v>
      </c>
      <c r="E957" s="119" t="s">
        <v>335</v>
      </c>
      <c r="F957" s="121">
        <f t="shared" si="378"/>
        <v>956</v>
      </c>
      <c r="G957" s="118" t="s">
        <v>115</v>
      </c>
      <c r="H957" s="118"/>
      <c r="I957" s="117">
        <v>6</v>
      </c>
      <c r="J957" s="117" t="str">
        <f>J956</f>
        <v>1560 mm id</v>
      </c>
      <c r="K957" s="131">
        <v>1</v>
      </c>
      <c r="L957" s="131" t="s">
        <v>81</v>
      </c>
      <c r="M957" s="141">
        <f t="shared" si="379"/>
        <v>4.9015199999999997</v>
      </c>
      <c r="N957" s="117" t="s">
        <v>139</v>
      </c>
      <c r="O957" s="175">
        <f>VLOOKUP(I957,BM!$A$2:$X$104,17,FALSE)</f>
        <v>0.9</v>
      </c>
      <c r="P957" s="117" t="s">
        <v>112</v>
      </c>
      <c r="Q957" s="163">
        <f t="shared" si="376"/>
        <v>4.4113679999999995</v>
      </c>
      <c r="R957" s="161">
        <v>1</v>
      </c>
      <c r="S957" s="163">
        <f t="shared" si="377"/>
        <v>5.4113679999999995</v>
      </c>
      <c r="T957" s="165" t="s">
        <v>48</v>
      </c>
    </row>
    <row r="958" spans="3:20" ht="20.25" customHeight="1">
      <c r="C958" s="109"/>
      <c r="D958" s="115">
        <f t="shared" si="331"/>
        <v>958</v>
      </c>
      <c r="E958" s="119" t="s">
        <v>336</v>
      </c>
      <c r="F958" s="121">
        <f t="shared" si="378"/>
        <v>957</v>
      </c>
      <c r="G958" s="118" t="s">
        <v>61</v>
      </c>
      <c r="H958" s="118"/>
      <c r="I958" s="117">
        <v>18</v>
      </c>
      <c r="J958" s="117" t="str">
        <f>J957</f>
        <v>1560 mm id</v>
      </c>
      <c r="K958" s="131">
        <v>1</v>
      </c>
      <c r="L958" s="131" t="s">
        <v>81</v>
      </c>
      <c r="M958" s="141">
        <f t="shared" si="379"/>
        <v>4.9015199999999997</v>
      </c>
      <c r="N958" s="117" t="s">
        <v>139</v>
      </c>
      <c r="O958" s="175">
        <f>VLOOKUP(I958,BM!$A$2:$X$104,20,FALSE)</f>
        <v>0.5</v>
      </c>
      <c r="P958" s="117" t="s">
        <v>112</v>
      </c>
      <c r="Q958" s="163">
        <f t="shared" si="376"/>
        <v>2.4507599999999998</v>
      </c>
      <c r="R958" s="161">
        <v>1</v>
      </c>
      <c r="S958" s="163">
        <f t="shared" si="377"/>
        <v>3.4507599999999998</v>
      </c>
      <c r="T958" s="165" t="s">
        <v>48</v>
      </c>
    </row>
    <row r="959" spans="3:20" ht="20.25" customHeight="1">
      <c r="C959" s="109">
        <f>D959</f>
        <v>959</v>
      </c>
      <c r="D959" s="115">
        <f t="shared" si="331"/>
        <v>959</v>
      </c>
      <c r="E959" s="116" t="s">
        <v>337</v>
      </c>
      <c r="F959" s="121">
        <f>D953</f>
        <v>953</v>
      </c>
      <c r="G959" s="118"/>
      <c r="H959" s="118"/>
      <c r="I959" s="117"/>
      <c r="J959" s="117"/>
      <c r="K959" s="131"/>
      <c r="L959" s="131"/>
      <c r="M959" s="132"/>
      <c r="N959" s="117"/>
      <c r="O959" s="133"/>
      <c r="P959" s="117"/>
      <c r="Q959" s="163"/>
      <c r="R959" s="161"/>
      <c r="S959" s="163"/>
      <c r="T959" s="162"/>
    </row>
    <row r="960" spans="3:20" ht="20.25" customHeight="1">
      <c r="C960" s="109"/>
      <c r="D960" s="115">
        <f t="shared" si="331"/>
        <v>960</v>
      </c>
      <c r="E960" s="119" t="s">
        <v>338</v>
      </c>
      <c r="F960" s="121">
        <f t="shared" ref="F960:F961" si="380">D959</f>
        <v>959</v>
      </c>
      <c r="G960" s="118" t="s">
        <v>299</v>
      </c>
      <c r="H960" s="118"/>
      <c r="I960" s="117">
        <v>18</v>
      </c>
      <c r="J960" s="117" t="str">
        <f>J958</f>
        <v>1560 mm id</v>
      </c>
      <c r="K960" s="131">
        <v>1</v>
      </c>
      <c r="L960" s="131" t="s">
        <v>81</v>
      </c>
      <c r="M960" s="141">
        <f t="shared" ref="M960:M961" si="381">LEFT(J960,SEARCH(" ",J960,1)-1)*3.142*K960*0.001</f>
        <v>4.9015199999999997</v>
      </c>
      <c r="N960" s="117" t="s">
        <v>139</v>
      </c>
      <c r="O960" s="175">
        <f>VLOOKUP(I960,BM!$A$2:$X$104,10,FALSE)</f>
        <v>1</v>
      </c>
      <c r="P960" s="117" t="s">
        <v>112</v>
      </c>
      <c r="Q960" s="163">
        <f t="shared" ref="Q960:Q961" si="382">M960*O960</f>
        <v>4.9015199999999997</v>
      </c>
      <c r="R960" s="161">
        <v>1</v>
      </c>
      <c r="S960" s="163">
        <f t="shared" ref="S960:S961" si="383">Q960+R960</f>
        <v>5.9015199999999997</v>
      </c>
      <c r="T960" s="165" t="s">
        <v>48</v>
      </c>
    </row>
    <row r="961" spans="3:20" ht="20.25" customHeight="1">
      <c r="C961" s="109"/>
      <c r="D961" s="115">
        <f t="shared" si="331"/>
        <v>961</v>
      </c>
      <c r="E961" s="119" t="s">
        <v>339</v>
      </c>
      <c r="F961" s="121">
        <f t="shared" si="380"/>
        <v>960</v>
      </c>
      <c r="G961" s="118" t="s">
        <v>44</v>
      </c>
      <c r="H961" s="118"/>
      <c r="I961" s="117">
        <v>18</v>
      </c>
      <c r="J961" s="117" t="str">
        <f>J958</f>
        <v>1560 mm id</v>
      </c>
      <c r="K961" s="131">
        <v>1</v>
      </c>
      <c r="L961" s="131" t="s">
        <v>81</v>
      </c>
      <c r="M961" s="141">
        <f t="shared" si="381"/>
        <v>4.9015199999999997</v>
      </c>
      <c r="N961" s="117" t="s">
        <v>139</v>
      </c>
      <c r="O961" s="133">
        <v>1</v>
      </c>
      <c r="P961" s="117" t="s">
        <v>112</v>
      </c>
      <c r="Q961" s="163">
        <f t="shared" si="382"/>
        <v>4.9015199999999997</v>
      </c>
      <c r="R961" s="161">
        <v>1</v>
      </c>
      <c r="S961" s="163">
        <f t="shared" si="383"/>
        <v>5.9015199999999997</v>
      </c>
      <c r="T961" s="179" t="s">
        <v>48</v>
      </c>
    </row>
    <row r="962" spans="3:20" ht="20.25" customHeight="1">
      <c r="C962" s="109">
        <f>D962</f>
        <v>962</v>
      </c>
      <c r="D962" s="115">
        <f t="shared" si="331"/>
        <v>962</v>
      </c>
      <c r="E962" s="116" t="s">
        <v>340</v>
      </c>
      <c r="F962" s="121">
        <f>D959</f>
        <v>959</v>
      </c>
      <c r="G962" s="118"/>
      <c r="H962" s="118"/>
      <c r="I962" s="117"/>
      <c r="J962" s="117"/>
      <c r="K962" s="131"/>
      <c r="L962" s="131"/>
      <c r="M962" s="132"/>
      <c r="N962" s="117"/>
      <c r="O962" s="133"/>
      <c r="P962" s="117"/>
      <c r="Q962" s="163"/>
      <c r="R962" s="161"/>
      <c r="S962" s="163"/>
      <c r="T962" s="162"/>
    </row>
    <row r="963" spans="3:20" ht="20.25" customHeight="1">
      <c r="C963" s="109"/>
      <c r="D963" s="115">
        <f t="shared" si="331"/>
        <v>963</v>
      </c>
      <c r="E963" s="119" t="s">
        <v>341</v>
      </c>
      <c r="F963" s="121">
        <f t="shared" ref="F963:F967" si="384">D962</f>
        <v>962</v>
      </c>
      <c r="G963" s="118" t="s">
        <v>44</v>
      </c>
      <c r="H963" s="118"/>
      <c r="I963" s="117">
        <v>18</v>
      </c>
      <c r="J963" s="117" t="str">
        <f>J961</f>
        <v>1560 mm id</v>
      </c>
      <c r="K963" s="131">
        <v>1</v>
      </c>
      <c r="L963" s="131" t="s">
        <v>81</v>
      </c>
      <c r="M963" s="132">
        <v>1</v>
      </c>
      <c r="N963" s="117" t="s">
        <v>139</v>
      </c>
      <c r="O963" s="133">
        <v>1</v>
      </c>
      <c r="P963" s="117" t="s">
        <v>112</v>
      </c>
      <c r="Q963" s="163">
        <f t="shared" ref="Q963:Q967" si="385">M963*O963</f>
        <v>1</v>
      </c>
      <c r="R963" s="161">
        <v>1</v>
      </c>
      <c r="S963" s="163">
        <f t="shared" ref="S963:S967" si="386">Q963+R963</f>
        <v>2</v>
      </c>
      <c r="T963" s="179" t="s">
        <v>48</v>
      </c>
    </row>
    <row r="964" spans="3:20" ht="20.25" customHeight="1">
      <c r="C964" s="109"/>
      <c r="D964" s="115">
        <f t="shared" ref="D964:D1027" si="387">D963+1</f>
        <v>964</v>
      </c>
      <c r="E964" s="119" t="s">
        <v>342</v>
      </c>
      <c r="F964" s="121">
        <f t="shared" si="384"/>
        <v>963</v>
      </c>
      <c r="G964" s="118" t="s">
        <v>115</v>
      </c>
      <c r="H964" s="118"/>
      <c r="I964" s="121">
        <f>12</f>
        <v>12</v>
      </c>
      <c r="J964" s="117" t="str">
        <f>J963</f>
        <v>1560 mm id</v>
      </c>
      <c r="K964" s="131">
        <v>1</v>
      </c>
      <c r="L964" s="131" t="s">
        <v>81</v>
      </c>
      <c r="M964" s="141">
        <f t="shared" ref="M964:M967" si="388">LEFT(J964,SEARCH(" ",J964,1)-1)*3.142*K964*0.001</f>
        <v>4.9015199999999997</v>
      </c>
      <c r="N964" s="117" t="s">
        <v>139</v>
      </c>
      <c r="O964" s="175">
        <f>VLOOKUP(I964,BM!$A$2:$X$104,17,FALSE)</f>
        <v>2.5</v>
      </c>
      <c r="P964" s="117" t="s">
        <v>112</v>
      </c>
      <c r="Q964" s="163">
        <f t="shared" si="385"/>
        <v>12.253799999999998</v>
      </c>
      <c r="R964" s="161">
        <v>1</v>
      </c>
      <c r="S964" s="163">
        <f t="shared" si="386"/>
        <v>13.253799999999998</v>
      </c>
      <c r="T964" s="179" t="s">
        <v>48</v>
      </c>
    </row>
    <row r="965" spans="3:20" ht="20.25" customHeight="1">
      <c r="C965" s="109"/>
      <c r="D965" s="115">
        <f t="shared" si="387"/>
        <v>965</v>
      </c>
      <c r="E965" s="119" t="s">
        <v>343</v>
      </c>
      <c r="F965" s="121">
        <f t="shared" si="384"/>
        <v>964</v>
      </c>
      <c r="G965" s="118" t="s">
        <v>61</v>
      </c>
      <c r="H965" s="118"/>
      <c r="I965" s="121">
        <f>18</f>
        <v>18</v>
      </c>
      <c r="J965" s="117" t="str">
        <f>J964</f>
        <v>1560 mm id</v>
      </c>
      <c r="K965" s="131">
        <v>1</v>
      </c>
      <c r="L965" s="131" t="s">
        <v>81</v>
      </c>
      <c r="M965" s="141">
        <f t="shared" si="388"/>
        <v>4.9015199999999997</v>
      </c>
      <c r="N965" s="117" t="s">
        <v>139</v>
      </c>
      <c r="O965" s="175">
        <f>VLOOKUP(I965,BM!$A$2:$X$104,18,FALSE)</f>
        <v>1</v>
      </c>
      <c r="P965" s="117" t="s">
        <v>112</v>
      </c>
      <c r="Q965" s="163">
        <f t="shared" si="385"/>
        <v>4.9015199999999997</v>
      </c>
      <c r="R965" s="161">
        <v>1</v>
      </c>
      <c r="S965" s="163">
        <f t="shared" si="386"/>
        <v>5.9015199999999997</v>
      </c>
      <c r="T965" s="179" t="s">
        <v>48</v>
      </c>
    </row>
    <row r="966" spans="3:20" ht="20.25" customHeight="1">
      <c r="C966" s="109"/>
      <c r="D966" s="115">
        <f t="shared" si="387"/>
        <v>966</v>
      </c>
      <c r="E966" s="119" t="s">
        <v>344</v>
      </c>
      <c r="F966" s="121">
        <f t="shared" si="384"/>
        <v>965</v>
      </c>
      <c r="G966" s="118" t="s">
        <v>115</v>
      </c>
      <c r="H966" s="118"/>
      <c r="I966" s="117">
        <v>6</v>
      </c>
      <c r="J966" s="117" t="str">
        <f>J965</f>
        <v>1560 mm id</v>
      </c>
      <c r="K966" s="131">
        <v>1</v>
      </c>
      <c r="L966" s="131" t="s">
        <v>81</v>
      </c>
      <c r="M966" s="141">
        <f t="shared" si="388"/>
        <v>4.9015199999999997</v>
      </c>
      <c r="N966" s="117" t="s">
        <v>139</v>
      </c>
      <c r="O966" s="175">
        <f>VLOOKUP(I966,BM!$A$2:$X$104,17,FALSE)</f>
        <v>0.9</v>
      </c>
      <c r="P966" s="117" t="s">
        <v>112</v>
      </c>
      <c r="Q966" s="163">
        <f t="shared" si="385"/>
        <v>4.4113679999999995</v>
      </c>
      <c r="R966" s="161">
        <v>1</v>
      </c>
      <c r="S966" s="163">
        <f t="shared" si="386"/>
        <v>5.4113679999999995</v>
      </c>
      <c r="T966" s="179" t="s">
        <v>48</v>
      </c>
    </row>
    <row r="967" spans="3:20" ht="20.25" customHeight="1">
      <c r="C967" s="109"/>
      <c r="D967" s="115">
        <f t="shared" si="387"/>
        <v>967</v>
      </c>
      <c r="E967" s="119" t="s">
        <v>345</v>
      </c>
      <c r="F967" s="121">
        <f t="shared" si="384"/>
        <v>966</v>
      </c>
      <c r="G967" s="118" t="s">
        <v>61</v>
      </c>
      <c r="H967" s="118"/>
      <c r="I967" s="117">
        <v>18</v>
      </c>
      <c r="J967" s="117" t="str">
        <f>J966</f>
        <v>1560 mm id</v>
      </c>
      <c r="K967" s="131">
        <v>1</v>
      </c>
      <c r="L967" s="131" t="s">
        <v>81</v>
      </c>
      <c r="M967" s="141">
        <f t="shared" si="388"/>
        <v>4.9015199999999997</v>
      </c>
      <c r="N967" s="117" t="s">
        <v>139</v>
      </c>
      <c r="O967" s="175">
        <f>VLOOKUP(I967,BM!$A$2:$X$104,20,FALSE)</f>
        <v>0.5</v>
      </c>
      <c r="P967" s="117" t="s">
        <v>112</v>
      </c>
      <c r="Q967" s="163">
        <f t="shared" si="385"/>
        <v>2.4507599999999998</v>
      </c>
      <c r="R967" s="161">
        <v>1</v>
      </c>
      <c r="S967" s="163">
        <f t="shared" si="386"/>
        <v>3.4507599999999998</v>
      </c>
      <c r="T967" s="179" t="s">
        <v>48</v>
      </c>
    </row>
    <row r="968" spans="3:20" ht="20.25" customHeight="1">
      <c r="C968" s="109">
        <f>D968</f>
        <v>968</v>
      </c>
      <c r="D968" s="115">
        <f t="shared" si="387"/>
        <v>968</v>
      </c>
      <c r="E968" s="116" t="s">
        <v>346</v>
      </c>
      <c r="F968" s="121">
        <f>D962</f>
        <v>962</v>
      </c>
      <c r="G968" s="118"/>
      <c r="H968" s="118"/>
      <c r="I968" s="117"/>
      <c r="J968" s="117"/>
      <c r="K968" s="131"/>
      <c r="L968" s="131"/>
      <c r="M968" s="132"/>
      <c r="N968" s="117"/>
      <c r="O968" s="133"/>
      <c r="P968" s="117"/>
      <c r="Q968" s="163"/>
      <c r="R968" s="161"/>
      <c r="S968" s="163"/>
      <c r="T968" s="162"/>
    </row>
    <row r="969" spans="3:20" ht="20.25" customHeight="1">
      <c r="C969" s="109"/>
      <c r="D969" s="115">
        <f t="shared" si="387"/>
        <v>969</v>
      </c>
      <c r="E969" s="119" t="s">
        <v>347</v>
      </c>
      <c r="F969" s="121">
        <f t="shared" ref="F969:F971" si="389">D968</f>
        <v>968</v>
      </c>
      <c r="G969" s="118" t="s">
        <v>348</v>
      </c>
      <c r="H969" s="118"/>
      <c r="I969" s="117">
        <v>18</v>
      </c>
      <c r="J969" s="117" t="str">
        <f>J967</f>
        <v>1560 mm id</v>
      </c>
      <c r="K969" s="131">
        <v>1</v>
      </c>
      <c r="L969" s="154" t="s">
        <v>39</v>
      </c>
      <c r="M969" s="132">
        <v>1</v>
      </c>
      <c r="N969" s="117" t="s">
        <v>39</v>
      </c>
      <c r="O969" s="133">
        <v>4</v>
      </c>
      <c r="P969" s="117" t="s">
        <v>112</v>
      </c>
      <c r="Q969" s="163">
        <f t="shared" ref="Q969:Q971" si="390">M969*O969</f>
        <v>4</v>
      </c>
      <c r="R969" s="161">
        <v>1</v>
      </c>
      <c r="S969" s="163">
        <f t="shared" ref="S969:S971" si="391">Q969+R969</f>
        <v>5</v>
      </c>
      <c r="T969" s="179" t="s">
        <v>48</v>
      </c>
    </row>
    <row r="970" spans="3:20" ht="20.25" customHeight="1">
      <c r="C970" s="109"/>
      <c r="D970" s="115">
        <f t="shared" si="387"/>
        <v>970</v>
      </c>
      <c r="E970" s="119" t="s">
        <v>349</v>
      </c>
      <c r="F970" s="121">
        <f t="shared" si="389"/>
        <v>969</v>
      </c>
      <c r="G970" s="118" t="s">
        <v>52</v>
      </c>
      <c r="H970" s="118"/>
      <c r="I970" s="117">
        <v>18</v>
      </c>
      <c r="J970" s="117" t="str">
        <f>J969</f>
        <v>1560 mm id</v>
      </c>
      <c r="K970" s="131">
        <v>1</v>
      </c>
      <c r="L970" s="154" t="s">
        <v>39</v>
      </c>
      <c r="M970" s="141">
        <f t="shared" ref="M970:M971" si="392">LEFT(J970,SEARCH(" ",J970,1)-1)*3.142*K970*0.001</f>
        <v>4.9015199999999997</v>
      </c>
      <c r="N970" s="117" t="s">
        <v>139</v>
      </c>
      <c r="O970" s="175">
        <f>VLOOKUP(I970,BM!$A$2:$X$104,5,FALSE)</f>
        <v>0.5</v>
      </c>
      <c r="P970" s="117" t="s">
        <v>112</v>
      </c>
      <c r="Q970" s="163">
        <f t="shared" si="390"/>
        <v>2.4507599999999998</v>
      </c>
      <c r="R970" s="161">
        <v>1</v>
      </c>
      <c r="S970" s="163">
        <f t="shared" si="391"/>
        <v>3.4507599999999998</v>
      </c>
      <c r="T970" s="179" t="s">
        <v>48</v>
      </c>
    </row>
    <row r="971" spans="3:20" ht="20.25" customHeight="1">
      <c r="C971" s="109"/>
      <c r="D971" s="115">
        <f t="shared" si="387"/>
        <v>971</v>
      </c>
      <c r="E971" s="119" t="s">
        <v>350</v>
      </c>
      <c r="F971" s="121">
        <f t="shared" si="389"/>
        <v>970</v>
      </c>
      <c r="G971" s="118" t="s">
        <v>121</v>
      </c>
      <c r="H971" s="118"/>
      <c r="I971" s="117">
        <v>18</v>
      </c>
      <c r="J971" s="117" t="str">
        <f>J970</f>
        <v>1560 mm id</v>
      </c>
      <c r="K971" s="131">
        <v>1</v>
      </c>
      <c r="L971" s="154" t="s">
        <v>39</v>
      </c>
      <c r="M971" s="141">
        <f t="shared" si="392"/>
        <v>4.9015199999999997</v>
      </c>
      <c r="N971" s="117" t="s">
        <v>139</v>
      </c>
      <c r="O971" s="175">
        <f>VLOOKUP(I971,BM!$A$2:$X$104,5,FALSE)</f>
        <v>0.5</v>
      </c>
      <c r="P971" s="117" t="s">
        <v>112</v>
      </c>
      <c r="Q971" s="163">
        <f t="shared" si="390"/>
        <v>2.4507599999999998</v>
      </c>
      <c r="R971" s="161">
        <v>1</v>
      </c>
      <c r="S971" s="163">
        <f t="shared" si="391"/>
        <v>3.4507599999999998</v>
      </c>
      <c r="T971" s="179" t="s">
        <v>48</v>
      </c>
    </row>
    <row r="972" spans="3:20" ht="20.25" customHeight="1">
      <c r="C972" s="109">
        <f>D972</f>
        <v>972</v>
      </c>
      <c r="D972" s="115">
        <f t="shared" si="387"/>
        <v>972</v>
      </c>
      <c r="E972" s="116" t="s">
        <v>351</v>
      </c>
      <c r="F972" s="121">
        <f>D968</f>
        <v>968</v>
      </c>
      <c r="G972" s="118"/>
      <c r="H972" s="118"/>
      <c r="I972" s="117"/>
      <c r="J972" s="117"/>
      <c r="K972" s="131"/>
      <c r="L972" s="131"/>
      <c r="M972" s="132"/>
      <c r="N972" s="117"/>
      <c r="O972" s="133"/>
      <c r="P972" s="117"/>
      <c r="Q972" s="163"/>
      <c r="R972" s="161"/>
      <c r="S972" s="163"/>
      <c r="T972" s="162"/>
    </row>
    <row r="973" spans="3:20" ht="20.25" customHeight="1">
      <c r="C973" s="109"/>
      <c r="D973" s="115">
        <f t="shared" si="387"/>
        <v>973</v>
      </c>
      <c r="E973" s="119" t="s">
        <v>352</v>
      </c>
      <c r="F973" s="121">
        <f t="shared" ref="F973:F974" si="393">D972</f>
        <v>972</v>
      </c>
      <c r="G973" s="118" t="s">
        <v>299</v>
      </c>
      <c r="H973" s="118"/>
      <c r="I973" s="117">
        <v>18</v>
      </c>
      <c r="J973" s="117" t="str">
        <f>J971</f>
        <v>1560 mm id</v>
      </c>
      <c r="K973" s="131">
        <v>1</v>
      </c>
      <c r="L973" s="131" t="s">
        <v>81</v>
      </c>
      <c r="M973" s="141">
        <f t="shared" ref="M973:M974" si="394">LEFT(J973,SEARCH(" ",J973,1)-1)*3.142*K973*0.001</f>
        <v>4.9015199999999997</v>
      </c>
      <c r="N973" s="117" t="s">
        <v>139</v>
      </c>
      <c r="O973" s="175">
        <f>VLOOKUP(I973,BM!$A$2:$X$104,10,FALSE)</f>
        <v>1</v>
      </c>
      <c r="P973" s="117" t="s">
        <v>112</v>
      </c>
      <c r="Q973" s="163">
        <f t="shared" ref="Q973:Q974" si="395">M973*O973</f>
        <v>4.9015199999999997</v>
      </c>
      <c r="R973" s="161">
        <v>1</v>
      </c>
      <c r="S973" s="163">
        <f t="shared" ref="S973:S974" si="396">Q973+R973</f>
        <v>5.9015199999999997</v>
      </c>
      <c r="T973" s="179" t="s">
        <v>48</v>
      </c>
    </row>
    <row r="974" spans="3:20" ht="20.25" customHeight="1">
      <c r="C974" s="109"/>
      <c r="D974" s="115">
        <f t="shared" si="387"/>
        <v>974</v>
      </c>
      <c r="E974" s="119" t="s">
        <v>353</v>
      </c>
      <c r="F974" s="121">
        <f t="shared" si="393"/>
        <v>973</v>
      </c>
      <c r="G974" s="118" t="s">
        <v>44</v>
      </c>
      <c r="H974" s="118"/>
      <c r="I974" s="117">
        <v>18</v>
      </c>
      <c r="J974" s="117" t="str">
        <f>J971</f>
        <v>1560 mm id</v>
      </c>
      <c r="K974" s="131">
        <v>1</v>
      </c>
      <c r="L974" s="131" t="s">
        <v>81</v>
      </c>
      <c r="M974" s="141">
        <f t="shared" si="394"/>
        <v>4.9015199999999997</v>
      </c>
      <c r="N974" s="117" t="s">
        <v>139</v>
      </c>
      <c r="O974" s="133">
        <v>1</v>
      </c>
      <c r="P974" s="117" t="s">
        <v>112</v>
      </c>
      <c r="Q974" s="163">
        <f t="shared" si="395"/>
        <v>4.9015199999999997</v>
      </c>
      <c r="R974" s="161">
        <v>1</v>
      </c>
      <c r="S974" s="163">
        <f t="shared" si="396"/>
        <v>5.9015199999999997</v>
      </c>
      <c r="T974" s="179" t="s">
        <v>48</v>
      </c>
    </row>
    <row r="975" spans="3:20" ht="20.25" customHeight="1">
      <c r="C975" s="109">
        <f>D975</f>
        <v>975</v>
      </c>
      <c r="D975" s="115">
        <f t="shared" si="387"/>
        <v>975</v>
      </c>
      <c r="E975" s="116" t="s">
        <v>354</v>
      </c>
      <c r="F975" s="121">
        <f>D972</f>
        <v>972</v>
      </c>
      <c r="G975" s="118"/>
      <c r="H975" s="118"/>
      <c r="I975" s="117"/>
      <c r="J975" s="117"/>
      <c r="K975" s="131"/>
      <c r="L975" s="131"/>
      <c r="M975" s="132"/>
      <c r="N975" s="117"/>
      <c r="O975" s="133"/>
      <c r="P975" s="117"/>
      <c r="Q975" s="163"/>
      <c r="R975" s="161"/>
      <c r="S975" s="163"/>
      <c r="T975" s="162"/>
    </row>
    <row r="976" spans="3:20" ht="20.25" customHeight="1">
      <c r="C976" s="109"/>
      <c r="D976" s="115">
        <f t="shared" si="387"/>
        <v>976</v>
      </c>
      <c r="E976" s="119" t="s">
        <v>323</v>
      </c>
      <c r="F976" s="121">
        <f t="shared" ref="F976:F980" si="397">D975</f>
        <v>975</v>
      </c>
      <c r="G976" s="118" t="s">
        <v>44</v>
      </c>
      <c r="H976" s="118"/>
      <c r="I976" s="117">
        <v>12</v>
      </c>
      <c r="J976" s="117" t="str">
        <f>J974</f>
        <v>1560 mm id</v>
      </c>
      <c r="K976" s="131">
        <v>1</v>
      </c>
      <c r="L976" s="131" t="s">
        <v>81</v>
      </c>
      <c r="M976" s="132">
        <v>1</v>
      </c>
      <c r="N976" s="117" t="s">
        <v>139</v>
      </c>
      <c r="O976" s="133">
        <v>1</v>
      </c>
      <c r="P976" s="117" t="s">
        <v>112</v>
      </c>
      <c r="Q976" s="163">
        <f t="shared" ref="Q976:Q980" si="398">M976*O976</f>
        <v>1</v>
      </c>
      <c r="R976" s="161">
        <v>1</v>
      </c>
      <c r="S976" s="163">
        <f t="shared" ref="S976:S980" si="399">Q976+R976</f>
        <v>2</v>
      </c>
      <c r="T976" s="179" t="s">
        <v>48</v>
      </c>
    </row>
    <row r="977" spans="3:20" ht="20.25" customHeight="1">
      <c r="C977" s="109"/>
      <c r="D977" s="115">
        <f t="shared" si="387"/>
        <v>977</v>
      </c>
      <c r="E977" s="119" t="s">
        <v>355</v>
      </c>
      <c r="F977" s="121">
        <f t="shared" si="397"/>
        <v>976</v>
      </c>
      <c r="G977" s="118" t="s">
        <v>115</v>
      </c>
      <c r="H977" s="118"/>
      <c r="I977" s="117">
        <v>12</v>
      </c>
      <c r="J977" s="117" t="str">
        <f>J976</f>
        <v>1560 mm id</v>
      </c>
      <c r="K977" s="131">
        <v>1</v>
      </c>
      <c r="L977" s="131" t="s">
        <v>81</v>
      </c>
      <c r="M977" s="141">
        <f t="shared" ref="M977:M980" si="400">LEFT(J977,SEARCH(" ",J977,1)-1)*3.142*K977*0.001</f>
        <v>4.9015199999999997</v>
      </c>
      <c r="N977" s="117" t="s">
        <v>139</v>
      </c>
      <c r="O977" s="175">
        <f>VLOOKUP(I977,BM!$A$2:$X$104,17,FALSE)</f>
        <v>2.5</v>
      </c>
      <c r="P977" s="117" t="s">
        <v>112</v>
      </c>
      <c r="Q977" s="163">
        <f t="shared" si="398"/>
        <v>12.253799999999998</v>
      </c>
      <c r="R977" s="161">
        <v>1</v>
      </c>
      <c r="S977" s="163">
        <f t="shared" si="399"/>
        <v>13.253799999999998</v>
      </c>
      <c r="T977" s="179" t="s">
        <v>48</v>
      </c>
    </row>
    <row r="978" spans="3:20" ht="20.25" customHeight="1">
      <c r="C978" s="109"/>
      <c r="D978" s="115">
        <f t="shared" si="387"/>
        <v>978</v>
      </c>
      <c r="E978" s="119" t="s">
        <v>356</v>
      </c>
      <c r="F978" s="121">
        <f t="shared" si="397"/>
        <v>977</v>
      </c>
      <c r="G978" s="118" t="s">
        <v>61</v>
      </c>
      <c r="H978" s="118"/>
      <c r="I978" s="117">
        <v>18</v>
      </c>
      <c r="J978" s="117" t="str">
        <f>J977</f>
        <v>1560 mm id</v>
      </c>
      <c r="K978" s="131">
        <v>1</v>
      </c>
      <c r="L978" s="131" t="s">
        <v>81</v>
      </c>
      <c r="M978" s="141">
        <f t="shared" si="400"/>
        <v>4.9015199999999997</v>
      </c>
      <c r="N978" s="117" t="s">
        <v>139</v>
      </c>
      <c r="O978" s="175">
        <f>VLOOKUP(I978,BM!$A$2:$X$104,18,FALSE)</f>
        <v>1</v>
      </c>
      <c r="P978" s="117" t="s">
        <v>112</v>
      </c>
      <c r="Q978" s="163">
        <f t="shared" si="398"/>
        <v>4.9015199999999997</v>
      </c>
      <c r="R978" s="161">
        <v>1</v>
      </c>
      <c r="S978" s="163">
        <f t="shared" si="399"/>
        <v>5.9015199999999997</v>
      </c>
      <c r="T978" s="179" t="s">
        <v>48</v>
      </c>
    </row>
    <row r="979" spans="3:20" ht="20.25" customHeight="1">
      <c r="C979" s="109"/>
      <c r="D979" s="115">
        <f t="shared" si="387"/>
        <v>979</v>
      </c>
      <c r="E979" s="119" t="s">
        <v>357</v>
      </c>
      <c r="F979" s="121">
        <f t="shared" si="397"/>
        <v>978</v>
      </c>
      <c r="G979" s="118" t="s">
        <v>115</v>
      </c>
      <c r="H979" s="118"/>
      <c r="I979" s="117">
        <v>6</v>
      </c>
      <c r="J979" s="117" t="str">
        <f>J978</f>
        <v>1560 mm id</v>
      </c>
      <c r="K979" s="131">
        <v>1</v>
      </c>
      <c r="L979" s="131" t="s">
        <v>81</v>
      </c>
      <c r="M979" s="141">
        <f t="shared" si="400"/>
        <v>4.9015199999999997</v>
      </c>
      <c r="N979" s="117" t="s">
        <v>139</v>
      </c>
      <c r="O979" s="175">
        <f>VLOOKUP(I979,BM!$A$2:$X$104,17,FALSE)</f>
        <v>0.9</v>
      </c>
      <c r="P979" s="117" t="s">
        <v>112</v>
      </c>
      <c r="Q979" s="163">
        <f t="shared" si="398"/>
        <v>4.4113679999999995</v>
      </c>
      <c r="R979" s="161">
        <v>1</v>
      </c>
      <c r="S979" s="163">
        <f t="shared" si="399"/>
        <v>5.4113679999999995</v>
      </c>
      <c r="T979" s="179" t="s">
        <v>48</v>
      </c>
    </row>
    <row r="980" spans="3:20" ht="20.25" customHeight="1">
      <c r="C980" s="109"/>
      <c r="D980" s="115">
        <f t="shared" si="387"/>
        <v>980</v>
      </c>
      <c r="E980" s="119" t="s">
        <v>358</v>
      </c>
      <c r="F980" s="121">
        <f t="shared" si="397"/>
        <v>979</v>
      </c>
      <c r="G980" s="118" t="s">
        <v>61</v>
      </c>
      <c r="H980" s="118"/>
      <c r="I980" s="117">
        <v>18</v>
      </c>
      <c r="J980" s="117" t="str">
        <f>J979</f>
        <v>1560 mm id</v>
      </c>
      <c r="K980" s="131">
        <v>1</v>
      </c>
      <c r="L980" s="131" t="s">
        <v>81</v>
      </c>
      <c r="M980" s="141">
        <f t="shared" si="400"/>
        <v>4.9015199999999997</v>
      </c>
      <c r="N980" s="117" t="s">
        <v>139</v>
      </c>
      <c r="O980" s="175">
        <f>VLOOKUP(I980,BM!$A$2:$X$104,20,FALSE)</f>
        <v>0.5</v>
      </c>
      <c r="P980" s="117" t="s">
        <v>112</v>
      </c>
      <c r="Q980" s="163">
        <f t="shared" si="398"/>
        <v>2.4507599999999998</v>
      </c>
      <c r="R980" s="161">
        <v>1</v>
      </c>
      <c r="S980" s="163">
        <f t="shared" si="399"/>
        <v>3.4507599999999998</v>
      </c>
      <c r="T980" s="179" t="s">
        <v>48</v>
      </c>
    </row>
    <row r="981" spans="3:20" ht="20.25" customHeight="1">
      <c r="C981" s="109">
        <f>D981</f>
        <v>981</v>
      </c>
      <c r="D981" s="115">
        <f t="shared" si="387"/>
        <v>981</v>
      </c>
      <c r="E981" s="116" t="s">
        <v>359</v>
      </c>
      <c r="F981" s="121">
        <f>D975</f>
        <v>975</v>
      </c>
      <c r="G981" s="118"/>
      <c r="H981" s="118"/>
      <c r="I981" s="117"/>
      <c r="J981" s="117"/>
      <c r="K981" s="131"/>
      <c r="L981" s="131"/>
      <c r="M981" s="132"/>
      <c r="N981" s="117"/>
      <c r="O981" s="133"/>
      <c r="P981" s="117"/>
      <c r="Q981" s="163"/>
      <c r="R981" s="161"/>
      <c r="S981" s="163"/>
      <c r="T981" s="162"/>
    </row>
    <row r="982" spans="3:20" ht="20.25" customHeight="1">
      <c r="C982" s="109"/>
      <c r="D982" s="115">
        <f t="shared" si="387"/>
        <v>982</v>
      </c>
      <c r="E982" s="119" t="s">
        <v>360</v>
      </c>
      <c r="F982" s="121">
        <f t="shared" ref="F982:F983" si="401">D981</f>
        <v>981</v>
      </c>
      <c r="G982" s="118" t="s">
        <v>299</v>
      </c>
      <c r="H982" s="118"/>
      <c r="I982" s="117">
        <v>18</v>
      </c>
      <c r="J982" s="117" t="str">
        <f>J980</f>
        <v>1560 mm id</v>
      </c>
      <c r="K982" s="131">
        <v>1</v>
      </c>
      <c r="L982" s="131" t="s">
        <v>81</v>
      </c>
      <c r="M982" s="141">
        <f t="shared" ref="M982:M983" si="402">LEFT(J982,SEARCH(" ",J982,1)-1)*3.142*K982*0.001</f>
        <v>4.9015199999999997</v>
      </c>
      <c r="N982" s="117" t="s">
        <v>139</v>
      </c>
      <c r="O982" s="175">
        <f>VLOOKUP(I982,BM!$A$2:$X$104,10,FALSE)</f>
        <v>1</v>
      </c>
      <c r="P982" s="117" t="s">
        <v>112</v>
      </c>
      <c r="Q982" s="163">
        <f t="shared" ref="Q982:Q983" si="403">M982*O982</f>
        <v>4.9015199999999997</v>
      </c>
      <c r="R982" s="161">
        <v>1</v>
      </c>
      <c r="S982" s="163">
        <f t="shared" ref="S982:S983" si="404">Q982+R982</f>
        <v>5.9015199999999997</v>
      </c>
      <c r="T982" s="165" t="s">
        <v>48</v>
      </c>
    </row>
    <row r="983" spans="3:20" ht="20.25" customHeight="1">
      <c r="C983" s="109"/>
      <c r="D983" s="115">
        <f t="shared" si="387"/>
        <v>983</v>
      </c>
      <c r="E983" s="119" t="s">
        <v>361</v>
      </c>
      <c r="F983" s="121">
        <f t="shared" si="401"/>
        <v>982</v>
      </c>
      <c r="G983" s="118" t="s">
        <v>44</v>
      </c>
      <c r="H983" s="118"/>
      <c r="I983" s="117">
        <v>18</v>
      </c>
      <c r="J983" s="117" t="str">
        <f>J982</f>
        <v>1560 mm id</v>
      </c>
      <c r="K983" s="131">
        <v>1</v>
      </c>
      <c r="L983" s="131" t="s">
        <v>81</v>
      </c>
      <c r="M983" s="141">
        <f t="shared" si="402"/>
        <v>4.9015199999999997</v>
      </c>
      <c r="N983" s="117" t="s">
        <v>139</v>
      </c>
      <c r="O983" s="133">
        <v>1</v>
      </c>
      <c r="P983" s="117" t="s">
        <v>112</v>
      </c>
      <c r="Q983" s="163">
        <f t="shared" si="403"/>
        <v>4.9015199999999997</v>
      </c>
      <c r="R983" s="161">
        <v>1</v>
      </c>
      <c r="S983" s="163">
        <f t="shared" si="404"/>
        <v>5.9015199999999997</v>
      </c>
      <c r="T983" s="165" t="s">
        <v>48</v>
      </c>
    </row>
    <row r="984" spans="3:20" ht="20.25" customHeight="1">
      <c r="C984" s="109">
        <f>D984</f>
        <v>984</v>
      </c>
      <c r="D984" s="115">
        <f t="shared" si="387"/>
        <v>984</v>
      </c>
      <c r="E984" s="116" t="s">
        <v>362</v>
      </c>
      <c r="F984" s="121">
        <f>D981</f>
        <v>981</v>
      </c>
      <c r="G984" s="118"/>
      <c r="H984" s="118"/>
      <c r="I984" s="117"/>
      <c r="J984" s="117"/>
      <c r="K984" s="131"/>
      <c r="L984" s="131"/>
      <c r="M984" s="132"/>
      <c r="N984" s="117"/>
      <c r="O984" s="133"/>
      <c r="P984" s="117"/>
      <c r="Q984" s="163"/>
      <c r="R984" s="161"/>
      <c r="S984" s="163"/>
      <c r="T984" s="162"/>
    </row>
    <row r="985" spans="3:20" ht="20.25" customHeight="1">
      <c r="C985" s="109"/>
      <c r="D985" s="115">
        <f t="shared" si="387"/>
        <v>985</v>
      </c>
      <c r="E985" s="119" t="s">
        <v>363</v>
      </c>
      <c r="F985" s="121">
        <f t="shared" ref="F985:F989" si="405">D984</f>
        <v>984</v>
      </c>
      <c r="G985" s="118" t="s">
        <v>44</v>
      </c>
      <c r="H985" s="118"/>
      <c r="I985" s="117">
        <v>12</v>
      </c>
      <c r="J985" s="117" t="str">
        <f>J983</f>
        <v>1560 mm id</v>
      </c>
      <c r="K985" s="131">
        <v>1</v>
      </c>
      <c r="L985" s="131" t="s">
        <v>81</v>
      </c>
      <c r="M985" s="132">
        <v>1</v>
      </c>
      <c r="N985" s="117" t="s">
        <v>249</v>
      </c>
      <c r="O985" s="133">
        <v>1</v>
      </c>
      <c r="P985" s="117" t="s">
        <v>112</v>
      </c>
      <c r="Q985" s="163">
        <f t="shared" ref="Q985:Q989" si="406">M985*O985</f>
        <v>1</v>
      </c>
      <c r="R985" s="161">
        <v>1</v>
      </c>
      <c r="S985" s="163">
        <f t="shared" ref="S985:S989" si="407">Q985+R985</f>
        <v>2</v>
      </c>
      <c r="T985" s="165" t="s">
        <v>48</v>
      </c>
    </row>
    <row r="986" spans="3:20" ht="20.25" customHeight="1">
      <c r="C986" s="109"/>
      <c r="D986" s="115">
        <f t="shared" si="387"/>
        <v>986</v>
      </c>
      <c r="E986" s="119" t="s">
        <v>364</v>
      </c>
      <c r="F986" s="121">
        <f t="shared" si="405"/>
        <v>985</v>
      </c>
      <c r="G986" s="118" t="s">
        <v>115</v>
      </c>
      <c r="H986" s="118"/>
      <c r="I986" s="117">
        <v>12</v>
      </c>
      <c r="J986" s="117" t="str">
        <f>J985</f>
        <v>1560 mm id</v>
      </c>
      <c r="K986" s="131">
        <v>1</v>
      </c>
      <c r="L986" s="131" t="s">
        <v>81</v>
      </c>
      <c r="M986" s="141">
        <f t="shared" ref="M986:M989" si="408">LEFT(J986,SEARCH(" ",J986,1)-1)*3.142*K986*0.001</f>
        <v>4.9015199999999997</v>
      </c>
      <c r="N986" s="117" t="s">
        <v>249</v>
      </c>
      <c r="O986" s="175">
        <f>VLOOKUP(I986,BM!$A$2:$X$104,17,FALSE)</f>
        <v>2.5</v>
      </c>
      <c r="P986" s="117" t="s">
        <v>112</v>
      </c>
      <c r="Q986" s="163">
        <f t="shared" si="406"/>
        <v>12.253799999999998</v>
      </c>
      <c r="R986" s="161">
        <v>1</v>
      </c>
      <c r="S986" s="163">
        <f t="shared" si="407"/>
        <v>13.253799999999998</v>
      </c>
      <c r="T986" s="165" t="s">
        <v>48</v>
      </c>
    </row>
    <row r="987" spans="3:20" ht="20.25" customHeight="1">
      <c r="C987" s="109"/>
      <c r="D987" s="115">
        <f t="shared" si="387"/>
        <v>987</v>
      </c>
      <c r="E987" s="119" t="s">
        <v>365</v>
      </c>
      <c r="F987" s="121">
        <f t="shared" si="405"/>
        <v>986</v>
      </c>
      <c r="G987" s="118" t="s">
        <v>61</v>
      </c>
      <c r="H987" s="118"/>
      <c r="I987" s="117">
        <v>18</v>
      </c>
      <c r="J987" s="117" t="str">
        <f>J986</f>
        <v>1560 mm id</v>
      </c>
      <c r="K987" s="131">
        <v>1</v>
      </c>
      <c r="L987" s="131" t="s">
        <v>81</v>
      </c>
      <c r="M987" s="141">
        <f t="shared" si="408"/>
        <v>4.9015199999999997</v>
      </c>
      <c r="N987" s="117" t="s">
        <v>249</v>
      </c>
      <c r="O987" s="175">
        <f>VLOOKUP(I987,BM!$A$2:$X$104,18,FALSE)</f>
        <v>1</v>
      </c>
      <c r="P987" s="117" t="s">
        <v>112</v>
      </c>
      <c r="Q987" s="163">
        <f t="shared" si="406"/>
        <v>4.9015199999999997</v>
      </c>
      <c r="R987" s="161">
        <v>1</v>
      </c>
      <c r="S987" s="163">
        <f t="shared" si="407"/>
        <v>5.9015199999999997</v>
      </c>
      <c r="T987" s="165" t="s">
        <v>48</v>
      </c>
    </row>
    <row r="988" spans="3:20" ht="20.25" customHeight="1">
      <c r="C988" s="109"/>
      <c r="D988" s="115">
        <f t="shared" si="387"/>
        <v>988</v>
      </c>
      <c r="E988" s="119" t="s">
        <v>366</v>
      </c>
      <c r="F988" s="121">
        <f t="shared" si="405"/>
        <v>987</v>
      </c>
      <c r="G988" s="118" t="s">
        <v>115</v>
      </c>
      <c r="H988" s="118"/>
      <c r="I988" s="117">
        <v>6</v>
      </c>
      <c r="J988" s="117" t="str">
        <f>J987</f>
        <v>1560 mm id</v>
      </c>
      <c r="K988" s="131">
        <v>1</v>
      </c>
      <c r="L988" s="131" t="s">
        <v>81</v>
      </c>
      <c r="M988" s="141">
        <f t="shared" si="408"/>
        <v>4.9015199999999997</v>
      </c>
      <c r="N988" s="117" t="s">
        <v>249</v>
      </c>
      <c r="O988" s="175">
        <f>VLOOKUP(I988,BM!$A$2:$X$104,17,FALSE)</f>
        <v>0.9</v>
      </c>
      <c r="P988" s="117" t="s">
        <v>112</v>
      </c>
      <c r="Q988" s="163">
        <f t="shared" si="406"/>
        <v>4.4113679999999995</v>
      </c>
      <c r="R988" s="161">
        <v>1</v>
      </c>
      <c r="S988" s="163">
        <f t="shared" si="407"/>
        <v>5.4113679999999995</v>
      </c>
      <c r="T988" s="165" t="s">
        <v>48</v>
      </c>
    </row>
    <row r="989" spans="3:20" ht="20.25" customHeight="1">
      <c r="C989" s="109"/>
      <c r="D989" s="115">
        <f t="shared" si="387"/>
        <v>989</v>
      </c>
      <c r="E989" s="119" t="s">
        <v>367</v>
      </c>
      <c r="F989" s="121">
        <f t="shared" si="405"/>
        <v>988</v>
      </c>
      <c r="G989" s="118" t="s">
        <v>61</v>
      </c>
      <c r="H989" s="118"/>
      <c r="I989" s="117">
        <v>18</v>
      </c>
      <c r="J989" s="117" t="str">
        <f>J988</f>
        <v>1560 mm id</v>
      </c>
      <c r="K989" s="131">
        <v>1</v>
      </c>
      <c r="L989" s="131" t="s">
        <v>81</v>
      </c>
      <c r="M989" s="141">
        <f t="shared" si="408"/>
        <v>4.9015199999999997</v>
      </c>
      <c r="N989" s="117" t="s">
        <v>249</v>
      </c>
      <c r="O989" s="175">
        <f>VLOOKUP(I989,BM!$A$2:$X$104,20,FALSE)</f>
        <v>0.5</v>
      </c>
      <c r="P989" s="117" t="s">
        <v>112</v>
      </c>
      <c r="Q989" s="163">
        <f t="shared" si="406"/>
        <v>2.4507599999999998</v>
      </c>
      <c r="R989" s="161">
        <v>1</v>
      </c>
      <c r="S989" s="163">
        <f t="shared" si="407"/>
        <v>3.4507599999999998</v>
      </c>
      <c r="T989" s="165" t="s">
        <v>48</v>
      </c>
    </row>
    <row r="990" spans="3:20" ht="20.25" customHeight="1">
      <c r="C990" s="109">
        <f>D990</f>
        <v>990</v>
      </c>
      <c r="D990" s="115">
        <f t="shared" si="387"/>
        <v>990</v>
      </c>
      <c r="E990" s="116" t="s">
        <v>761</v>
      </c>
      <c r="F990" s="121">
        <f>D984</f>
        <v>984</v>
      </c>
      <c r="G990" s="118"/>
      <c r="H990" s="118"/>
      <c r="I990" s="117"/>
      <c r="J990" s="117"/>
      <c r="K990" s="131"/>
      <c r="L990" s="131"/>
      <c r="M990" s="132"/>
      <c r="N990" s="117"/>
      <c r="O990" s="133"/>
      <c r="P990" s="117"/>
      <c r="Q990" s="163"/>
      <c r="R990" s="161"/>
      <c r="S990" s="163"/>
      <c r="T990" s="162"/>
    </row>
    <row r="991" spans="3:20" ht="20.25" customHeight="1">
      <c r="C991" s="109"/>
      <c r="D991" s="115">
        <f t="shared" si="387"/>
        <v>991</v>
      </c>
      <c r="E991" s="119" t="s">
        <v>369</v>
      </c>
      <c r="F991" s="121">
        <f t="shared" ref="F991:F993" si="409">D990</f>
        <v>990</v>
      </c>
      <c r="G991" s="118" t="s">
        <v>348</v>
      </c>
      <c r="H991" s="118"/>
      <c r="I991" s="117">
        <v>18</v>
      </c>
      <c r="J991" s="117" t="str">
        <f>J989</f>
        <v>1560 mm id</v>
      </c>
      <c r="K991" s="131">
        <v>1</v>
      </c>
      <c r="L991" s="131" t="s">
        <v>81</v>
      </c>
      <c r="M991" s="132">
        <v>1</v>
      </c>
      <c r="N991" s="145" t="s">
        <v>81</v>
      </c>
      <c r="O991" s="133">
        <v>4</v>
      </c>
      <c r="P991" s="117" t="s">
        <v>112</v>
      </c>
      <c r="Q991" s="163">
        <f t="shared" ref="Q991:Q993" si="410">M991*O991</f>
        <v>4</v>
      </c>
      <c r="R991" s="161">
        <v>1</v>
      </c>
      <c r="S991" s="163">
        <f t="shared" ref="S991:S993" si="411">Q991+R991</f>
        <v>5</v>
      </c>
      <c r="T991" s="165" t="s">
        <v>48</v>
      </c>
    </row>
    <row r="992" spans="3:20" ht="20.25" customHeight="1">
      <c r="C992" s="109"/>
      <c r="D992" s="115">
        <f t="shared" si="387"/>
        <v>992</v>
      </c>
      <c r="E992" s="119" t="s">
        <v>370</v>
      </c>
      <c r="F992" s="121">
        <f t="shared" si="409"/>
        <v>991</v>
      </c>
      <c r="G992" s="118" t="s">
        <v>348</v>
      </c>
      <c r="H992" s="118"/>
      <c r="I992" s="117">
        <v>18</v>
      </c>
      <c r="J992" s="117" t="str">
        <f>J991</f>
        <v>1560 mm id</v>
      </c>
      <c r="K992" s="131">
        <v>1</v>
      </c>
      <c r="L992" s="131" t="s">
        <v>81</v>
      </c>
      <c r="M992" s="132">
        <v>1</v>
      </c>
      <c r="N992" s="117" t="s">
        <v>81</v>
      </c>
      <c r="O992" s="133">
        <v>4</v>
      </c>
      <c r="P992" s="117" t="s">
        <v>112</v>
      </c>
      <c r="Q992" s="163">
        <f t="shared" si="410"/>
        <v>4</v>
      </c>
      <c r="R992" s="161">
        <v>1</v>
      </c>
      <c r="S992" s="163">
        <f t="shared" si="411"/>
        <v>5</v>
      </c>
      <c r="T992" s="165" t="s">
        <v>48</v>
      </c>
    </row>
    <row r="993" spans="3:20" ht="20.25" customHeight="1">
      <c r="C993" s="109"/>
      <c r="D993" s="115">
        <f t="shared" si="387"/>
        <v>993</v>
      </c>
      <c r="E993" s="119" t="s">
        <v>370</v>
      </c>
      <c r="F993" s="121">
        <f t="shared" si="409"/>
        <v>992</v>
      </c>
      <c r="G993" s="118" t="s">
        <v>348</v>
      </c>
      <c r="H993" s="118"/>
      <c r="I993" s="117">
        <v>18</v>
      </c>
      <c r="J993" s="117" t="str">
        <f>J992</f>
        <v>1560 mm id</v>
      </c>
      <c r="K993" s="131">
        <v>1</v>
      </c>
      <c r="L993" s="131" t="s">
        <v>81</v>
      </c>
      <c r="M993" s="132">
        <v>1</v>
      </c>
      <c r="N993" s="117" t="s">
        <v>81</v>
      </c>
      <c r="O993" s="133">
        <v>4</v>
      </c>
      <c r="P993" s="117" t="s">
        <v>112</v>
      </c>
      <c r="Q993" s="163">
        <f t="shared" si="410"/>
        <v>4</v>
      </c>
      <c r="R993" s="161">
        <v>1</v>
      </c>
      <c r="S993" s="163">
        <f t="shared" si="411"/>
        <v>5</v>
      </c>
      <c r="T993" s="165" t="s">
        <v>48</v>
      </c>
    </row>
    <row r="994" spans="3:20" ht="20.25" customHeight="1">
      <c r="C994" s="109">
        <f>D994</f>
        <v>994</v>
      </c>
      <c r="D994" s="115">
        <f t="shared" si="387"/>
        <v>994</v>
      </c>
      <c r="E994" s="116" t="s">
        <v>762</v>
      </c>
      <c r="F994" s="121">
        <f>D990</f>
        <v>990</v>
      </c>
      <c r="G994" s="118"/>
      <c r="H994" s="118"/>
      <c r="I994" s="117"/>
      <c r="J994" s="117"/>
      <c r="K994" s="131"/>
      <c r="L994" s="131"/>
      <c r="M994" s="132"/>
      <c r="N994" s="117"/>
      <c r="O994" s="133"/>
      <c r="P994" s="117"/>
      <c r="Q994" s="163"/>
      <c r="R994" s="161"/>
      <c r="S994" s="163"/>
      <c r="T994" s="162"/>
    </row>
    <row r="995" spans="3:20" ht="20.25" customHeight="1">
      <c r="C995" s="109"/>
      <c r="D995" s="115">
        <f t="shared" si="387"/>
        <v>995</v>
      </c>
      <c r="E995" s="119" t="s">
        <v>372</v>
      </c>
      <c r="F995" s="121">
        <f t="shared" ref="F995:F996" si="412">D994</f>
        <v>994</v>
      </c>
      <c r="G995" s="118" t="s">
        <v>52</v>
      </c>
      <c r="H995" s="118"/>
      <c r="I995" s="173">
        <v>18</v>
      </c>
      <c r="J995" s="145" t="s">
        <v>373</v>
      </c>
      <c r="K995" s="131">
        <v>1</v>
      </c>
      <c r="L995" s="131" t="s">
        <v>39</v>
      </c>
      <c r="M995" s="141">
        <f t="shared" ref="M995:M996" si="413">LEFT(J995,SEARCH(" ",J995,1)-1)*3.142*K995*0.001</f>
        <v>3.0540240000000001</v>
      </c>
      <c r="N995" s="117" t="s">
        <v>249</v>
      </c>
      <c r="O995" s="175">
        <f>VLOOKUP(I995,BM!$A$2:$X$104,2,FALSE)</f>
        <v>0.1</v>
      </c>
      <c r="P995" s="117" t="s">
        <v>112</v>
      </c>
      <c r="Q995" s="163">
        <f t="shared" ref="Q995:Q997" si="414">M995*O995</f>
        <v>0.30540240000000002</v>
      </c>
      <c r="R995" s="161">
        <v>1</v>
      </c>
      <c r="S995" s="163">
        <f t="shared" ref="S995:S997" si="415">Q995+R995</f>
        <v>1.3054024</v>
      </c>
      <c r="T995" s="165" t="s">
        <v>48</v>
      </c>
    </row>
    <row r="996" spans="3:20" ht="20.25" customHeight="1">
      <c r="C996" s="109"/>
      <c r="D996" s="115">
        <f t="shared" si="387"/>
        <v>996</v>
      </c>
      <c r="E996" s="119" t="s">
        <v>372</v>
      </c>
      <c r="F996" s="121">
        <f t="shared" si="412"/>
        <v>995</v>
      </c>
      <c r="G996" s="118" t="s">
        <v>52</v>
      </c>
      <c r="H996" s="118"/>
      <c r="I996" s="117">
        <v>18</v>
      </c>
      <c r="J996" s="117" t="str">
        <f>J995</f>
        <v>972 mm lip od</v>
      </c>
      <c r="K996" s="131">
        <v>1</v>
      </c>
      <c r="L996" s="131" t="s">
        <v>39</v>
      </c>
      <c r="M996" s="141">
        <f t="shared" si="413"/>
        <v>3.0540240000000001</v>
      </c>
      <c r="N996" s="117" t="s">
        <v>249</v>
      </c>
      <c r="O996" s="175">
        <f>VLOOKUP(I996,BM!$A$2:$X$104,2,FALSE)</f>
        <v>0.1</v>
      </c>
      <c r="P996" s="117" t="s">
        <v>112</v>
      </c>
      <c r="Q996" s="163">
        <f t="shared" si="414"/>
        <v>0.30540240000000002</v>
      </c>
      <c r="R996" s="161">
        <v>1</v>
      </c>
      <c r="S996" s="163">
        <f t="shared" si="415"/>
        <v>1.3054024</v>
      </c>
      <c r="T996" s="165" t="s">
        <v>48</v>
      </c>
    </row>
    <row r="997" spans="3:20" ht="20.25" customHeight="1">
      <c r="C997" s="109">
        <f t="shared" ref="C997:C998" si="416">D997</f>
        <v>997</v>
      </c>
      <c r="D997" s="115">
        <f t="shared" si="387"/>
        <v>997</v>
      </c>
      <c r="E997" s="119" t="s">
        <v>109</v>
      </c>
      <c r="F997" s="121">
        <f>D994</f>
        <v>994</v>
      </c>
      <c r="G997" s="118" t="s">
        <v>52</v>
      </c>
      <c r="H997" s="118"/>
      <c r="I997" s="117"/>
      <c r="J997" s="117"/>
      <c r="K997" s="131">
        <v>2</v>
      </c>
      <c r="L997" s="131" t="s">
        <v>81</v>
      </c>
      <c r="M997" s="132">
        <v>2</v>
      </c>
      <c r="N997" s="117" t="s">
        <v>81</v>
      </c>
      <c r="O997" s="133">
        <v>0.5</v>
      </c>
      <c r="P997" s="117" t="s">
        <v>112</v>
      </c>
      <c r="Q997" s="163">
        <f t="shared" si="414"/>
        <v>1</v>
      </c>
      <c r="R997" s="161">
        <v>1</v>
      </c>
      <c r="S997" s="163">
        <f t="shared" si="415"/>
        <v>2</v>
      </c>
      <c r="T997" s="165" t="s">
        <v>48</v>
      </c>
    </row>
    <row r="998" spans="3:20" ht="20.25" customHeight="1">
      <c r="C998" s="109">
        <f t="shared" si="416"/>
        <v>998</v>
      </c>
      <c r="D998" s="115">
        <f t="shared" si="387"/>
        <v>998</v>
      </c>
      <c r="E998" s="116" t="s">
        <v>763</v>
      </c>
      <c r="F998" s="121">
        <f>D997</f>
        <v>997</v>
      </c>
      <c r="G998" s="118"/>
      <c r="H998" s="118"/>
      <c r="I998" s="117"/>
      <c r="J998" s="117"/>
      <c r="K998" s="131"/>
      <c r="L998" s="131"/>
      <c r="M998" s="132"/>
      <c r="N998" s="117"/>
      <c r="O998" s="133"/>
      <c r="P998" s="117"/>
      <c r="Q998" s="163"/>
      <c r="R998" s="161"/>
      <c r="S998" s="163"/>
      <c r="T998" s="162"/>
    </row>
    <row r="999" spans="3:20" ht="20.25" customHeight="1">
      <c r="C999" s="109"/>
      <c r="D999" s="115">
        <f t="shared" si="387"/>
        <v>999</v>
      </c>
      <c r="E999" s="119" t="s">
        <v>372</v>
      </c>
      <c r="F999" s="121">
        <f t="shared" ref="F999:F1001" si="417">D998</f>
        <v>998</v>
      </c>
      <c r="G999" s="118" t="s">
        <v>61</v>
      </c>
      <c r="H999" s="118"/>
      <c r="I999" s="117">
        <v>18</v>
      </c>
      <c r="J999" s="117" t="str">
        <f>J996</f>
        <v>972 mm lip od</v>
      </c>
      <c r="K999" s="131">
        <v>1</v>
      </c>
      <c r="L999" s="131" t="s">
        <v>39</v>
      </c>
      <c r="M999" s="141">
        <f t="shared" ref="M999:M1000" si="418">LEFT(J999,SEARCH(" ",J999,1)-1)*3.142*K999*0.001</f>
        <v>3.0540240000000001</v>
      </c>
      <c r="N999" s="117" t="s">
        <v>249</v>
      </c>
      <c r="O999" s="175">
        <f>VLOOKUP(I999,BM!$A$2:$X$104,6,FALSE)</f>
        <v>1</v>
      </c>
      <c r="P999" s="117" t="s">
        <v>112</v>
      </c>
      <c r="Q999" s="163">
        <f t="shared" ref="Q999:Q1001" si="419">M999*O999</f>
        <v>3.0540240000000001</v>
      </c>
      <c r="R999" s="161">
        <v>1</v>
      </c>
      <c r="S999" s="163">
        <f t="shared" ref="S999:S1001" si="420">Q999+R999</f>
        <v>4.0540240000000001</v>
      </c>
      <c r="T999" s="165" t="s">
        <v>48</v>
      </c>
    </row>
    <row r="1000" spans="3:20" ht="20.25" customHeight="1">
      <c r="C1000" s="109"/>
      <c r="D1000" s="115">
        <f t="shared" si="387"/>
        <v>1000</v>
      </c>
      <c r="E1000" s="119" t="s">
        <v>372</v>
      </c>
      <c r="F1000" s="121">
        <f t="shared" si="417"/>
        <v>999</v>
      </c>
      <c r="G1000" s="118" t="s">
        <v>61</v>
      </c>
      <c r="H1000" s="118"/>
      <c r="I1000" s="117">
        <v>18</v>
      </c>
      <c r="J1000" s="117" t="str">
        <f>J999</f>
        <v>972 mm lip od</v>
      </c>
      <c r="K1000" s="131">
        <v>1</v>
      </c>
      <c r="L1000" s="131" t="s">
        <v>39</v>
      </c>
      <c r="M1000" s="141">
        <f t="shared" si="418"/>
        <v>3.0540240000000001</v>
      </c>
      <c r="N1000" s="117" t="s">
        <v>249</v>
      </c>
      <c r="O1000" s="175">
        <f>VLOOKUP(I1000,BM!$A$2:$X$104,6,FALSE)</f>
        <v>1</v>
      </c>
      <c r="P1000" s="117" t="s">
        <v>112</v>
      </c>
      <c r="Q1000" s="163">
        <f t="shared" si="419"/>
        <v>3.0540240000000001</v>
      </c>
      <c r="R1000" s="161">
        <v>1</v>
      </c>
      <c r="S1000" s="163">
        <f t="shared" si="420"/>
        <v>4.0540240000000001</v>
      </c>
      <c r="T1000" s="165" t="s">
        <v>48</v>
      </c>
    </row>
    <row r="1001" spans="3:20" ht="20.25" customHeight="1">
      <c r="C1001" s="109"/>
      <c r="D1001" s="115">
        <f t="shared" si="387"/>
        <v>1001</v>
      </c>
      <c r="E1001" s="119" t="s">
        <v>109</v>
      </c>
      <c r="F1001" s="121">
        <f t="shared" si="417"/>
        <v>1000</v>
      </c>
      <c r="G1001" s="118"/>
      <c r="H1001" s="118"/>
      <c r="I1001" s="117"/>
      <c r="J1001" s="117"/>
      <c r="K1001" s="131">
        <v>1</v>
      </c>
      <c r="L1001" s="131" t="s">
        <v>39</v>
      </c>
      <c r="M1001" s="132">
        <v>2</v>
      </c>
      <c r="N1001" s="117" t="s">
        <v>81</v>
      </c>
      <c r="O1001" s="133">
        <v>0.5</v>
      </c>
      <c r="P1001" s="117" t="s">
        <v>112</v>
      </c>
      <c r="Q1001" s="163">
        <f t="shared" si="419"/>
        <v>1</v>
      </c>
      <c r="R1001" s="161">
        <v>1</v>
      </c>
      <c r="S1001" s="163">
        <f t="shared" si="420"/>
        <v>2</v>
      </c>
      <c r="T1001" s="165" t="s">
        <v>48</v>
      </c>
    </row>
    <row r="1002" spans="3:20" ht="20.25" customHeight="1">
      <c r="C1002" s="109">
        <f>D1002</f>
        <v>1002</v>
      </c>
      <c r="D1002" s="115">
        <f t="shared" si="387"/>
        <v>1002</v>
      </c>
      <c r="E1002" s="116" t="s">
        <v>375</v>
      </c>
      <c r="F1002" s="121">
        <f>D998</f>
        <v>998</v>
      </c>
      <c r="G1002" s="118"/>
      <c r="H1002" s="118"/>
      <c r="I1002" s="117"/>
      <c r="J1002" s="117"/>
      <c r="K1002" s="131"/>
      <c r="L1002" s="131"/>
      <c r="M1002" s="132"/>
      <c r="N1002" s="117"/>
      <c r="O1002" s="133"/>
      <c r="P1002" s="117"/>
      <c r="Q1002" s="163"/>
      <c r="R1002" s="161"/>
      <c r="S1002" s="163"/>
      <c r="T1002" s="162"/>
    </row>
    <row r="1003" spans="3:20" ht="20.25" customHeight="1">
      <c r="C1003" s="109"/>
      <c r="D1003" s="115">
        <f t="shared" si="387"/>
        <v>1003</v>
      </c>
      <c r="E1003" s="119" t="s">
        <v>372</v>
      </c>
      <c r="F1003" s="121">
        <f t="shared" ref="F1003:F1005" si="421">D1002</f>
        <v>1002</v>
      </c>
      <c r="G1003" s="118" t="s">
        <v>299</v>
      </c>
      <c r="H1003" s="118"/>
      <c r="I1003" s="117"/>
      <c r="J1003" s="145" t="s">
        <v>376</v>
      </c>
      <c r="K1003" s="131">
        <v>1</v>
      </c>
      <c r="L1003" s="131" t="s">
        <v>39</v>
      </c>
      <c r="M1003" s="132">
        <v>1</v>
      </c>
      <c r="N1003" s="117" t="s">
        <v>249</v>
      </c>
      <c r="O1003" s="175">
        <f>VLOOKUP(J1003,BM!$A$2:$X$104,11,FALSE)</f>
        <v>4</v>
      </c>
      <c r="P1003" s="117" t="s">
        <v>112</v>
      </c>
      <c r="Q1003" s="163">
        <f t="shared" ref="Q1003:Q1005" si="422">M1003*O1003</f>
        <v>4</v>
      </c>
      <c r="R1003" s="161">
        <v>1</v>
      </c>
      <c r="S1003" s="163">
        <f t="shared" ref="S1003:S1005" si="423">Q1003+R1003</f>
        <v>5</v>
      </c>
      <c r="T1003" s="165" t="s">
        <v>48</v>
      </c>
    </row>
    <row r="1004" spans="3:20" ht="20.25" customHeight="1">
      <c r="C1004" s="109"/>
      <c r="D1004" s="115">
        <f t="shared" si="387"/>
        <v>1004</v>
      </c>
      <c r="E1004" s="119" t="s">
        <v>372</v>
      </c>
      <c r="F1004" s="121">
        <f t="shared" si="421"/>
        <v>1003</v>
      </c>
      <c r="G1004" s="118" t="s">
        <v>299</v>
      </c>
      <c r="H1004" s="118"/>
      <c r="I1004" s="117"/>
      <c r="J1004" s="145" t="s">
        <v>376</v>
      </c>
      <c r="K1004" s="131">
        <v>1</v>
      </c>
      <c r="L1004" s="131" t="s">
        <v>39</v>
      </c>
      <c r="M1004" s="132">
        <v>1</v>
      </c>
      <c r="N1004" s="117" t="s">
        <v>249</v>
      </c>
      <c r="O1004" s="175">
        <f>VLOOKUP(J1004,BM!$A$2:$X$104,11,FALSE)</f>
        <v>4</v>
      </c>
      <c r="P1004" s="117" t="s">
        <v>112</v>
      </c>
      <c r="Q1004" s="163">
        <f t="shared" si="422"/>
        <v>4</v>
      </c>
      <c r="R1004" s="161">
        <v>1</v>
      </c>
      <c r="S1004" s="163">
        <f t="shared" si="423"/>
        <v>5</v>
      </c>
      <c r="T1004" s="165" t="s">
        <v>48</v>
      </c>
    </row>
    <row r="1005" spans="3:20" ht="20.25" customHeight="1">
      <c r="C1005" s="109"/>
      <c r="D1005" s="115">
        <f t="shared" si="387"/>
        <v>1005</v>
      </c>
      <c r="E1005" s="119" t="s">
        <v>377</v>
      </c>
      <c r="F1005" s="121">
        <f t="shared" si="421"/>
        <v>1004</v>
      </c>
      <c r="G1005" s="118"/>
      <c r="H1005" s="118"/>
      <c r="I1005" s="117"/>
      <c r="J1005" s="117"/>
      <c r="K1005" s="131">
        <v>2</v>
      </c>
      <c r="L1005" s="131" t="s">
        <v>39</v>
      </c>
      <c r="M1005" s="132">
        <v>1</v>
      </c>
      <c r="N1005" s="117" t="s">
        <v>81</v>
      </c>
      <c r="O1005" s="133">
        <v>1</v>
      </c>
      <c r="P1005" s="117" t="s">
        <v>112</v>
      </c>
      <c r="Q1005" s="163">
        <f t="shared" si="422"/>
        <v>1</v>
      </c>
      <c r="R1005" s="161">
        <v>1</v>
      </c>
      <c r="S1005" s="163">
        <f t="shared" si="423"/>
        <v>2</v>
      </c>
      <c r="T1005" s="165" t="s">
        <v>48</v>
      </c>
    </row>
    <row r="1006" spans="3:20" ht="20.25" customHeight="1">
      <c r="C1006" s="109">
        <f>D1006</f>
        <v>1006</v>
      </c>
      <c r="D1006" s="115">
        <f t="shared" si="387"/>
        <v>1006</v>
      </c>
      <c r="E1006" s="116" t="s">
        <v>764</v>
      </c>
      <c r="F1006" s="121">
        <f>D1002</f>
        <v>1002</v>
      </c>
      <c r="G1006" s="118"/>
      <c r="H1006" s="118"/>
      <c r="I1006" s="117"/>
      <c r="J1006" s="117"/>
      <c r="K1006" s="131"/>
      <c r="L1006" s="131"/>
      <c r="M1006" s="132"/>
      <c r="N1006" s="117"/>
      <c r="O1006" s="133"/>
      <c r="P1006" s="117"/>
      <c r="Q1006" s="163"/>
      <c r="R1006" s="161"/>
      <c r="S1006" s="163"/>
      <c r="T1006" s="162"/>
    </row>
    <row r="1007" spans="3:20" ht="20.25" customHeight="1">
      <c r="C1007" s="109"/>
      <c r="D1007" s="115">
        <f t="shared" si="387"/>
        <v>1007</v>
      </c>
      <c r="E1007" s="119" t="s">
        <v>372</v>
      </c>
      <c r="F1007" s="121">
        <f t="shared" ref="F1007:F1009" si="424">D1006</f>
        <v>1006</v>
      </c>
      <c r="G1007" s="118" t="s">
        <v>44</v>
      </c>
      <c r="H1007" s="118"/>
      <c r="I1007" s="117"/>
      <c r="J1007" s="117" t="s">
        <v>376</v>
      </c>
      <c r="K1007" s="131">
        <v>1</v>
      </c>
      <c r="L1007" s="131" t="s">
        <v>39</v>
      </c>
      <c r="M1007" s="132">
        <v>1</v>
      </c>
      <c r="N1007" s="145" t="s">
        <v>48</v>
      </c>
      <c r="O1007" s="133">
        <v>1</v>
      </c>
      <c r="P1007" s="117" t="s">
        <v>112</v>
      </c>
      <c r="Q1007" s="163">
        <f t="shared" ref="Q1007:Q1009" si="425">M1007*O1007</f>
        <v>1</v>
      </c>
      <c r="R1007" s="161">
        <v>1</v>
      </c>
      <c r="S1007" s="163">
        <f t="shared" ref="S1007:S1009" si="426">Q1007+R1007</f>
        <v>2</v>
      </c>
      <c r="T1007" s="165" t="s">
        <v>48</v>
      </c>
    </row>
    <row r="1008" spans="3:20" ht="20.25" customHeight="1">
      <c r="C1008" s="109"/>
      <c r="D1008" s="115">
        <f t="shared" si="387"/>
        <v>1008</v>
      </c>
      <c r="E1008" s="119" t="s">
        <v>372</v>
      </c>
      <c r="F1008" s="121">
        <f t="shared" si="424"/>
        <v>1007</v>
      </c>
      <c r="G1008" s="118" t="s">
        <v>44</v>
      </c>
      <c r="H1008" s="118"/>
      <c r="I1008" s="117"/>
      <c r="J1008" s="117" t="s">
        <v>376</v>
      </c>
      <c r="K1008" s="131">
        <v>1</v>
      </c>
      <c r="L1008" s="131" t="s">
        <v>39</v>
      </c>
      <c r="M1008" s="132">
        <v>1</v>
      </c>
      <c r="N1008" s="145" t="s">
        <v>48</v>
      </c>
      <c r="O1008" s="133">
        <v>1</v>
      </c>
      <c r="P1008" s="117" t="s">
        <v>112</v>
      </c>
      <c r="Q1008" s="163">
        <f t="shared" si="425"/>
        <v>1</v>
      </c>
      <c r="R1008" s="161">
        <v>1</v>
      </c>
      <c r="S1008" s="163">
        <f t="shared" si="426"/>
        <v>2</v>
      </c>
      <c r="T1008" s="165" t="s">
        <v>48</v>
      </c>
    </row>
    <row r="1009" spans="3:22" ht="20.25" customHeight="1">
      <c r="C1009" s="109"/>
      <c r="D1009" s="115">
        <f t="shared" si="387"/>
        <v>1009</v>
      </c>
      <c r="E1009" s="119" t="s">
        <v>377</v>
      </c>
      <c r="F1009" s="121">
        <f t="shared" si="424"/>
        <v>1008</v>
      </c>
      <c r="G1009" s="118" t="s">
        <v>44</v>
      </c>
      <c r="H1009" s="118"/>
      <c r="I1009" s="117"/>
      <c r="J1009" s="117" t="s">
        <v>376</v>
      </c>
      <c r="K1009" s="131">
        <v>2</v>
      </c>
      <c r="L1009" s="131" t="s">
        <v>39</v>
      </c>
      <c r="M1009" s="132">
        <v>1</v>
      </c>
      <c r="N1009" s="145" t="s">
        <v>48</v>
      </c>
      <c r="O1009" s="133">
        <v>1</v>
      </c>
      <c r="P1009" s="117" t="s">
        <v>112</v>
      </c>
      <c r="Q1009" s="163">
        <f t="shared" si="425"/>
        <v>1</v>
      </c>
      <c r="R1009" s="161">
        <v>1</v>
      </c>
      <c r="S1009" s="163">
        <f t="shared" si="426"/>
        <v>2</v>
      </c>
      <c r="T1009" s="165" t="s">
        <v>48</v>
      </c>
    </row>
    <row r="1010" spans="3:22" ht="20.25" customHeight="1">
      <c r="C1010" s="109">
        <f>D1010</f>
        <v>1010</v>
      </c>
      <c r="D1010" s="115">
        <f t="shared" si="387"/>
        <v>1010</v>
      </c>
      <c r="E1010" s="116" t="s">
        <v>765</v>
      </c>
      <c r="F1010" s="121">
        <f>D1006</f>
        <v>1006</v>
      </c>
      <c r="G1010" s="118"/>
      <c r="H1010" s="118"/>
      <c r="I1010" s="117"/>
      <c r="J1010" s="117"/>
      <c r="K1010" s="131"/>
      <c r="L1010" s="131"/>
      <c r="M1010" s="132"/>
      <c r="N1010" s="117"/>
      <c r="O1010" s="133"/>
      <c r="P1010" s="117"/>
      <c r="Q1010" s="163"/>
      <c r="R1010" s="161"/>
      <c r="S1010" s="163"/>
      <c r="T1010" s="162"/>
    </row>
    <row r="1011" spans="3:22" ht="20.25" customHeight="1">
      <c r="C1011" s="109"/>
      <c r="D1011" s="115">
        <f t="shared" si="387"/>
        <v>1011</v>
      </c>
      <c r="E1011" s="119" t="s">
        <v>380</v>
      </c>
      <c r="F1011" s="121">
        <f t="shared" ref="F1011:F1018" si="427">D1010</f>
        <v>1010</v>
      </c>
      <c r="G1011" s="118" t="s">
        <v>37</v>
      </c>
      <c r="H1011" s="118"/>
      <c r="I1011" s="117"/>
      <c r="J1011" s="117"/>
      <c r="K1011" s="131">
        <v>1</v>
      </c>
      <c r="L1011" s="154" t="s">
        <v>39</v>
      </c>
      <c r="M1011" s="132">
        <v>1</v>
      </c>
      <c r="N1011" s="145" t="s">
        <v>81</v>
      </c>
      <c r="O1011" s="133">
        <v>1</v>
      </c>
      <c r="P1011" s="145" t="s">
        <v>162</v>
      </c>
      <c r="Q1011" s="163">
        <f t="shared" ref="Q1011:Q1018" si="428">M1011*O1011</f>
        <v>1</v>
      </c>
      <c r="R1011" s="161"/>
      <c r="S1011" s="163">
        <f t="shared" ref="S1011:S1018" si="429">Q1011+R1011</f>
        <v>1</v>
      </c>
      <c r="T1011" s="165" t="s">
        <v>48</v>
      </c>
    </row>
    <row r="1012" spans="3:22" ht="20.25" customHeight="1">
      <c r="C1012" s="109"/>
      <c r="D1012" s="115">
        <f t="shared" si="387"/>
        <v>1012</v>
      </c>
      <c r="E1012" s="119" t="s">
        <v>381</v>
      </c>
      <c r="F1012" s="121">
        <f t="shared" si="427"/>
        <v>1011</v>
      </c>
      <c r="G1012" s="118" t="s">
        <v>115</v>
      </c>
      <c r="H1012" s="118"/>
      <c r="I1012" s="117">
        <v>12</v>
      </c>
      <c r="J1012" s="117" t="str">
        <f>J1000</f>
        <v>972 mm lip od</v>
      </c>
      <c r="K1012" s="131">
        <v>1</v>
      </c>
      <c r="L1012" s="131" t="s">
        <v>39</v>
      </c>
      <c r="M1012" s="141">
        <f t="shared" ref="M1012:M1018" si="430">LEFT(J1012,SEARCH(" ",J1012,1)-1)*3.142*K1012*0.001</f>
        <v>3.0540240000000001</v>
      </c>
      <c r="N1012" s="117" t="s">
        <v>249</v>
      </c>
      <c r="O1012" s="175">
        <f>VLOOKUP(I1012,BM!$A$2:$X$104,17,FALSE)</f>
        <v>2.5</v>
      </c>
      <c r="P1012" s="117" t="s">
        <v>112</v>
      </c>
      <c r="Q1012" s="163">
        <f t="shared" si="428"/>
        <v>7.6350600000000002</v>
      </c>
      <c r="R1012" s="161">
        <v>1</v>
      </c>
      <c r="S1012" s="163">
        <f t="shared" si="429"/>
        <v>8.6350599999999993</v>
      </c>
      <c r="T1012" s="165" t="s">
        <v>48</v>
      </c>
    </row>
    <row r="1013" spans="3:22" ht="20.25" customHeight="1">
      <c r="C1013" s="109"/>
      <c r="D1013" s="115">
        <f t="shared" si="387"/>
        <v>1013</v>
      </c>
      <c r="E1013" s="119" t="s">
        <v>382</v>
      </c>
      <c r="F1013" s="121">
        <f t="shared" si="427"/>
        <v>1012</v>
      </c>
      <c r="G1013" s="118" t="s">
        <v>115</v>
      </c>
      <c r="H1013" s="118"/>
      <c r="I1013" s="117">
        <v>12</v>
      </c>
      <c r="J1013" s="117" t="str">
        <f t="shared" ref="J1013:J1018" si="431">J1012</f>
        <v>972 mm lip od</v>
      </c>
      <c r="K1013" s="131">
        <v>1</v>
      </c>
      <c r="L1013" s="131" t="s">
        <v>39</v>
      </c>
      <c r="M1013" s="141">
        <f t="shared" si="430"/>
        <v>3.0540240000000001</v>
      </c>
      <c r="N1013" s="117" t="s">
        <v>249</v>
      </c>
      <c r="O1013" s="175">
        <f>VLOOKUP(I1013,BM!$A$2:$X$104,17,FALSE)</f>
        <v>2.5</v>
      </c>
      <c r="P1013" s="117" t="s">
        <v>112</v>
      </c>
      <c r="Q1013" s="163">
        <f t="shared" si="428"/>
        <v>7.6350600000000002</v>
      </c>
      <c r="R1013" s="161">
        <v>1</v>
      </c>
      <c r="S1013" s="163">
        <f t="shared" si="429"/>
        <v>8.6350599999999993</v>
      </c>
      <c r="T1013" s="165" t="s">
        <v>48</v>
      </c>
    </row>
    <row r="1014" spans="3:22" ht="20.25" customHeight="1">
      <c r="C1014" s="109"/>
      <c r="D1014" s="115">
        <f t="shared" si="387"/>
        <v>1014</v>
      </c>
      <c r="E1014" s="119" t="s">
        <v>383</v>
      </c>
      <c r="F1014" s="121">
        <f t="shared" si="427"/>
        <v>1013</v>
      </c>
      <c r="G1014" s="118" t="s">
        <v>115</v>
      </c>
      <c r="H1014" s="118"/>
      <c r="I1014" s="117">
        <v>12</v>
      </c>
      <c r="J1014" s="117" t="str">
        <f t="shared" si="431"/>
        <v>972 mm lip od</v>
      </c>
      <c r="K1014" s="131">
        <v>1</v>
      </c>
      <c r="L1014" s="131" t="s">
        <v>39</v>
      </c>
      <c r="M1014" s="141">
        <f t="shared" si="430"/>
        <v>3.0540240000000001</v>
      </c>
      <c r="N1014" s="117" t="s">
        <v>249</v>
      </c>
      <c r="O1014" s="175">
        <f>VLOOKUP(I1014,BM!$A$2:$X$104,17,FALSE)</f>
        <v>2.5</v>
      </c>
      <c r="P1014" s="117" t="s">
        <v>112</v>
      </c>
      <c r="Q1014" s="163">
        <f t="shared" si="428"/>
        <v>7.6350600000000002</v>
      </c>
      <c r="R1014" s="161">
        <v>1</v>
      </c>
      <c r="S1014" s="163">
        <f t="shared" si="429"/>
        <v>8.6350599999999993</v>
      </c>
      <c r="T1014" s="165" t="s">
        <v>48</v>
      </c>
    </row>
    <row r="1015" spans="3:22" ht="20.25" customHeight="1">
      <c r="C1015" s="109"/>
      <c r="D1015" s="115">
        <f t="shared" si="387"/>
        <v>1015</v>
      </c>
      <c r="E1015" s="119" t="s">
        <v>384</v>
      </c>
      <c r="F1015" s="121">
        <f t="shared" si="427"/>
        <v>1014</v>
      </c>
      <c r="G1015" s="118" t="s">
        <v>44</v>
      </c>
      <c r="H1015" s="118"/>
      <c r="I1015" s="117">
        <v>12</v>
      </c>
      <c r="J1015" s="117" t="str">
        <f t="shared" si="431"/>
        <v>972 mm lip od</v>
      </c>
      <c r="K1015" s="131">
        <v>2</v>
      </c>
      <c r="L1015" s="131" t="s">
        <v>39</v>
      </c>
      <c r="M1015" s="141">
        <f t="shared" si="430"/>
        <v>6.1080480000000001</v>
      </c>
      <c r="N1015" s="117" t="s">
        <v>249</v>
      </c>
      <c r="O1015" s="133">
        <v>1</v>
      </c>
      <c r="P1015" s="117" t="s">
        <v>112</v>
      </c>
      <c r="Q1015" s="163">
        <f t="shared" si="428"/>
        <v>6.1080480000000001</v>
      </c>
      <c r="R1015" s="161">
        <v>1</v>
      </c>
      <c r="S1015" s="163">
        <f t="shared" si="429"/>
        <v>7.1080480000000001</v>
      </c>
      <c r="T1015" s="165" t="s">
        <v>48</v>
      </c>
    </row>
    <row r="1016" spans="3:22" ht="20.25" customHeight="1">
      <c r="C1016" s="109"/>
      <c r="D1016" s="115">
        <f t="shared" si="387"/>
        <v>1016</v>
      </c>
      <c r="E1016" s="119" t="s">
        <v>385</v>
      </c>
      <c r="F1016" s="121">
        <f t="shared" si="427"/>
        <v>1015</v>
      </c>
      <c r="G1016" s="118" t="s">
        <v>386</v>
      </c>
      <c r="H1016" s="118"/>
      <c r="I1016" s="117">
        <v>8</v>
      </c>
      <c r="J1016" s="117" t="str">
        <f t="shared" si="431"/>
        <v>972 mm lip od</v>
      </c>
      <c r="K1016" s="131">
        <v>1</v>
      </c>
      <c r="L1016" s="131" t="s">
        <v>39</v>
      </c>
      <c r="M1016" s="141">
        <f t="shared" si="430"/>
        <v>3.0540240000000001</v>
      </c>
      <c r="N1016" s="117" t="s">
        <v>249</v>
      </c>
      <c r="O1016" s="175">
        <f>VLOOKUP(I1016,BM!$A$2:$X$104,17,FALSE)</f>
        <v>1.36</v>
      </c>
      <c r="P1016" s="117" t="s">
        <v>112</v>
      </c>
      <c r="Q1016" s="163">
        <f t="shared" si="428"/>
        <v>4.1534726400000004</v>
      </c>
      <c r="R1016" s="161">
        <v>1</v>
      </c>
      <c r="S1016" s="163">
        <f t="shared" si="429"/>
        <v>5.1534726400000004</v>
      </c>
      <c r="T1016" s="165" t="s">
        <v>48</v>
      </c>
    </row>
    <row r="1017" spans="3:22" ht="20.25" customHeight="1">
      <c r="C1017" s="109"/>
      <c r="D1017" s="115">
        <f t="shared" si="387"/>
        <v>1017</v>
      </c>
      <c r="E1017" s="119" t="s">
        <v>387</v>
      </c>
      <c r="F1017" s="121">
        <f t="shared" si="427"/>
        <v>1016</v>
      </c>
      <c r="G1017" s="118" t="s">
        <v>386</v>
      </c>
      <c r="H1017" s="118"/>
      <c r="I1017" s="117">
        <v>8</v>
      </c>
      <c r="J1017" s="117" t="str">
        <f t="shared" si="431"/>
        <v>972 mm lip od</v>
      </c>
      <c r="K1017" s="131">
        <v>1</v>
      </c>
      <c r="L1017" s="131" t="s">
        <v>39</v>
      </c>
      <c r="M1017" s="141">
        <f t="shared" si="430"/>
        <v>3.0540240000000001</v>
      </c>
      <c r="N1017" s="117" t="s">
        <v>249</v>
      </c>
      <c r="O1017" s="175">
        <f>VLOOKUP(I1017,BM!$A$2:$X$104,17,FALSE)</f>
        <v>1.36</v>
      </c>
      <c r="P1017" s="117" t="s">
        <v>112</v>
      </c>
      <c r="Q1017" s="163">
        <f t="shared" si="428"/>
        <v>4.1534726400000004</v>
      </c>
      <c r="R1017" s="161">
        <v>1</v>
      </c>
      <c r="S1017" s="163">
        <f t="shared" si="429"/>
        <v>5.1534726400000004</v>
      </c>
      <c r="T1017" s="165" t="s">
        <v>48</v>
      </c>
    </row>
    <row r="1018" spans="3:22" ht="20.25" customHeight="1">
      <c r="C1018" s="109"/>
      <c r="D1018" s="115">
        <f t="shared" si="387"/>
        <v>1018</v>
      </c>
      <c r="E1018" s="119" t="s">
        <v>388</v>
      </c>
      <c r="F1018" s="121">
        <f t="shared" si="427"/>
        <v>1017</v>
      </c>
      <c r="G1018" s="118" t="s">
        <v>386</v>
      </c>
      <c r="H1018" s="118"/>
      <c r="I1018" s="117">
        <v>8</v>
      </c>
      <c r="J1018" s="117" t="str">
        <f t="shared" si="431"/>
        <v>972 mm lip od</v>
      </c>
      <c r="K1018" s="131">
        <v>0</v>
      </c>
      <c r="L1018" s="131" t="s">
        <v>39</v>
      </c>
      <c r="M1018" s="141">
        <f t="shared" si="430"/>
        <v>0</v>
      </c>
      <c r="N1018" s="117" t="s">
        <v>249</v>
      </c>
      <c r="O1018" s="175">
        <f>VLOOKUP(I1018,BM!$A$2:$X$104,17,FALSE)</f>
        <v>1.36</v>
      </c>
      <c r="P1018" s="117" t="s">
        <v>112</v>
      </c>
      <c r="Q1018" s="163">
        <f t="shared" si="428"/>
        <v>0</v>
      </c>
      <c r="R1018" s="161">
        <v>1</v>
      </c>
      <c r="S1018" s="163">
        <f t="shared" si="429"/>
        <v>1</v>
      </c>
      <c r="T1018" s="165" t="s">
        <v>48</v>
      </c>
    </row>
    <row r="1019" spans="3:22" ht="20.25" customHeight="1">
      <c r="C1019" s="109">
        <f>D1019</f>
        <v>1019</v>
      </c>
      <c r="D1019" s="115">
        <f t="shared" si="387"/>
        <v>1019</v>
      </c>
      <c r="E1019" s="116" t="s">
        <v>389</v>
      </c>
      <c r="F1019" s="121">
        <f>D1010</f>
        <v>1010</v>
      </c>
      <c r="G1019" s="118"/>
      <c r="H1019" s="118"/>
      <c r="I1019" s="117"/>
      <c r="J1019" s="117"/>
      <c r="K1019" s="131"/>
      <c r="L1019" s="131"/>
      <c r="M1019" s="132"/>
      <c r="N1019" s="117"/>
      <c r="O1019" s="133"/>
      <c r="P1019" s="117"/>
      <c r="Q1019" s="163"/>
      <c r="R1019" s="161"/>
      <c r="S1019" s="163"/>
      <c r="T1019" s="162"/>
    </row>
    <row r="1020" spans="3:22" ht="20.25" customHeight="1">
      <c r="C1020" s="109"/>
      <c r="D1020" s="115">
        <f t="shared" si="387"/>
        <v>1020</v>
      </c>
      <c r="E1020" s="119" t="s">
        <v>390</v>
      </c>
      <c r="F1020" s="121">
        <f t="shared" ref="F1020:F1025" si="432">D1019</f>
        <v>1019</v>
      </c>
      <c r="G1020" s="118" t="s">
        <v>111</v>
      </c>
      <c r="H1020" s="118"/>
      <c r="I1020" s="117">
        <v>25</v>
      </c>
      <c r="J1020" s="125" t="s">
        <v>391</v>
      </c>
      <c r="K1020" s="131">
        <v>2</v>
      </c>
      <c r="L1020" s="131" t="s">
        <v>39</v>
      </c>
      <c r="M1020" s="141">
        <f>LEFT(J1020,SEARCH(" ",J1020,1)-1)*3.142*K1020*2*0.001</f>
        <v>20.058527999999999</v>
      </c>
      <c r="N1020" s="117" t="s">
        <v>81</v>
      </c>
      <c r="O1020" s="133">
        <v>0.5</v>
      </c>
      <c r="P1020" s="117" t="s">
        <v>162</v>
      </c>
      <c r="Q1020" s="163">
        <f t="shared" ref="Q1020:Q1025" si="433">M1020*O1020</f>
        <v>10.029264</v>
      </c>
      <c r="R1020" s="161">
        <v>1</v>
      </c>
      <c r="S1020" s="163">
        <f t="shared" ref="S1020:S1025" si="434">Q1020+R1020</f>
        <v>11.029264</v>
      </c>
      <c r="T1020" s="165" t="s">
        <v>48</v>
      </c>
    </row>
    <row r="1021" spans="3:22" ht="20.25" customHeight="1">
      <c r="C1021" s="109"/>
      <c r="D1021" s="115">
        <f t="shared" si="387"/>
        <v>1021</v>
      </c>
      <c r="E1021" s="119" t="s">
        <v>392</v>
      </c>
      <c r="F1021" s="121">
        <f t="shared" si="432"/>
        <v>1020</v>
      </c>
      <c r="G1021" s="118" t="s">
        <v>156</v>
      </c>
      <c r="H1021" s="118"/>
      <c r="I1021" s="117">
        <v>12</v>
      </c>
      <c r="J1021" s="117" t="str">
        <f>J1020</f>
        <v>1596 mm od</v>
      </c>
      <c r="K1021" s="131">
        <v>2</v>
      </c>
      <c r="L1021" s="131" t="s">
        <v>249</v>
      </c>
      <c r="M1021" s="141">
        <f>LEFT(J1021,SEARCH(" ",J1021,1)-1)*3.142*K1021*2*0.001</f>
        <v>20.058527999999999</v>
      </c>
      <c r="N1021" s="117" t="s">
        <v>249</v>
      </c>
      <c r="O1021" s="175">
        <f>VLOOKUP(I1021,BM!$A$2:$X$104,22,FALSE)</f>
        <v>1.6</v>
      </c>
      <c r="P1021" s="117" t="s">
        <v>162</v>
      </c>
      <c r="Q1021" s="163">
        <f t="shared" si="433"/>
        <v>32.0936448</v>
      </c>
      <c r="R1021" s="161">
        <v>1</v>
      </c>
      <c r="S1021" s="163">
        <f t="shared" si="434"/>
        <v>33.0936448</v>
      </c>
      <c r="T1021" s="165" t="s">
        <v>48</v>
      </c>
    </row>
    <row r="1022" spans="3:22" ht="20.25" customHeight="1">
      <c r="C1022" s="109"/>
      <c r="D1022" s="115">
        <f t="shared" si="387"/>
        <v>1022</v>
      </c>
      <c r="E1022" s="119" t="s">
        <v>393</v>
      </c>
      <c r="F1022" s="121">
        <f t="shared" si="432"/>
        <v>1021</v>
      </c>
      <c r="G1022" s="118" t="s">
        <v>394</v>
      </c>
      <c r="H1022" s="118"/>
      <c r="I1022" s="117"/>
      <c r="J1022" s="121" t="str">
        <f>J1021</f>
        <v>1596 mm od</v>
      </c>
      <c r="K1022" s="131">
        <v>2</v>
      </c>
      <c r="L1022" s="131" t="s">
        <v>81</v>
      </c>
      <c r="M1022" s="132">
        <f>K1022</f>
        <v>2</v>
      </c>
      <c r="N1022" s="117" t="s">
        <v>81</v>
      </c>
      <c r="O1022" s="133">
        <v>8</v>
      </c>
      <c r="P1022" s="117" t="s">
        <v>162</v>
      </c>
      <c r="Q1022" s="163">
        <f t="shared" si="433"/>
        <v>16</v>
      </c>
      <c r="R1022" s="161">
        <v>1</v>
      </c>
      <c r="S1022" s="163">
        <f t="shared" si="434"/>
        <v>17</v>
      </c>
      <c r="T1022" s="165" t="s">
        <v>48</v>
      </c>
    </row>
    <row r="1023" spans="3:22" ht="20.25" customHeight="1">
      <c r="C1023" s="109"/>
      <c r="D1023" s="115">
        <f t="shared" si="387"/>
        <v>1023</v>
      </c>
      <c r="E1023" s="119" t="s">
        <v>395</v>
      </c>
      <c r="F1023" s="121">
        <f t="shared" si="432"/>
        <v>1022</v>
      </c>
      <c r="G1023" s="118" t="s">
        <v>396</v>
      </c>
      <c r="H1023" s="118"/>
      <c r="I1023" s="117"/>
      <c r="J1023" s="121" t="str">
        <f>J1022</f>
        <v>1596 mm od</v>
      </c>
      <c r="K1023" s="131">
        <v>2</v>
      </c>
      <c r="L1023" s="131" t="s">
        <v>81</v>
      </c>
      <c r="M1023" s="132">
        <f>K1023</f>
        <v>2</v>
      </c>
      <c r="N1023" s="117" t="s">
        <v>81</v>
      </c>
      <c r="O1023" s="133">
        <v>6</v>
      </c>
      <c r="P1023" s="117" t="s">
        <v>162</v>
      </c>
      <c r="Q1023" s="163">
        <f t="shared" si="433"/>
        <v>12</v>
      </c>
      <c r="R1023" s="161">
        <v>1</v>
      </c>
      <c r="S1023" s="163">
        <f t="shared" si="434"/>
        <v>13</v>
      </c>
      <c r="T1023" s="165" t="s">
        <v>48</v>
      </c>
    </row>
    <row r="1024" spans="3:22" ht="20.25" customHeight="1">
      <c r="C1024" s="109"/>
      <c r="D1024" s="115">
        <f t="shared" si="387"/>
        <v>1024</v>
      </c>
      <c r="E1024" s="119" t="s">
        <v>397</v>
      </c>
      <c r="F1024" s="121">
        <f t="shared" si="432"/>
        <v>1023</v>
      </c>
      <c r="G1024" s="118" t="s">
        <v>156</v>
      </c>
      <c r="H1024" s="118"/>
      <c r="I1024" s="117">
        <v>12</v>
      </c>
      <c r="J1024" s="145" t="s">
        <v>398</v>
      </c>
      <c r="K1024" s="131">
        <v>1</v>
      </c>
      <c r="L1024" s="154" t="s">
        <v>81</v>
      </c>
      <c r="M1024" s="155">
        <f>(300*16+1536*3.142*360^-1*120*2)*2*0.001</f>
        <v>16.034815999999999</v>
      </c>
      <c r="N1024" s="117" t="s">
        <v>249</v>
      </c>
      <c r="O1024" s="175">
        <f>VLOOKUP(I1024,BM!$A$2:$X$104,22,FALSE)</f>
        <v>1.6</v>
      </c>
      <c r="P1024" s="117" t="s">
        <v>162</v>
      </c>
      <c r="Q1024" s="163">
        <f t="shared" si="433"/>
        <v>25.655705600000001</v>
      </c>
      <c r="R1024" s="161">
        <v>1</v>
      </c>
      <c r="S1024" s="163">
        <f t="shared" si="434"/>
        <v>26.655705600000001</v>
      </c>
      <c r="T1024" s="165" t="s">
        <v>48</v>
      </c>
      <c r="V1024" s="100">
        <f>(135+135+25)*8+(1596*3.142*0.33)</f>
        <v>4014.8285599999999</v>
      </c>
    </row>
    <row r="1025" spans="3:20" ht="20.25" customHeight="1">
      <c r="C1025" s="109"/>
      <c r="D1025" s="115">
        <f t="shared" si="387"/>
        <v>1025</v>
      </c>
      <c r="E1025" s="119" t="s">
        <v>399</v>
      </c>
      <c r="F1025" s="121">
        <f t="shared" si="432"/>
        <v>1024</v>
      </c>
      <c r="G1025" s="118" t="s">
        <v>149</v>
      </c>
      <c r="H1025" s="118"/>
      <c r="I1025" s="117"/>
      <c r="J1025" s="117"/>
      <c r="K1025" s="131">
        <v>1</v>
      </c>
      <c r="L1025" s="131" t="s">
        <v>39</v>
      </c>
      <c r="M1025" s="132">
        <v>1</v>
      </c>
      <c r="N1025" s="117" t="s">
        <v>81</v>
      </c>
      <c r="O1025" s="133">
        <v>8</v>
      </c>
      <c r="P1025" s="117" t="s">
        <v>162</v>
      </c>
      <c r="Q1025" s="163">
        <f t="shared" si="433"/>
        <v>8</v>
      </c>
      <c r="R1025" s="161">
        <v>1</v>
      </c>
      <c r="S1025" s="163">
        <f t="shared" si="434"/>
        <v>9</v>
      </c>
      <c r="T1025" s="165" t="s">
        <v>48</v>
      </c>
    </row>
    <row r="1026" spans="3:20" ht="20.25" customHeight="1">
      <c r="C1026" s="109">
        <f>D1026</f>
        <v>1026</v>
      </c>
      <c r="D1026" s="115">
        <f t="shared" si="387"/>
        <v>1026</v>
      </c>
      <c r="E1026" s="116" t="s">
        <v>400</v>
      </c>
      <c r="F1026" s="121">
        <f>D1019</f>
        <v>1019</v>
      </c>
      <c r="G1026" s="118"/>
      <c r="H1026" s="118"/>
      <c r="I1026" s="117"/>
      <c r="J1026" s="117"/>
      <c r="K1026" s="131"/>
      <c r="L1026" s="131"/>
      <c r="M1026" s="132"/>
      <c r="N1026" s="117"/>
      <c r="O1026" s="133"/>
      <c r="P1026" s="117"/>
      <c r="Q1026" s="163"/>
      <c r="R1026" s="161"/>
      <c r="S1026" s="163"/>
      <c r="T1026" s="162"/>
    </row>
    <row r="1027" spans="3:20" ht="20.25" customHeight="1">
      <c r="C1027" s="109"/>
      <c r="D1027" s="115">
        <f t="shared" si="387"/>
        <v>1027</v>
      </c>
      <c r="E1027" s="119" t="s">
        <v>401</v>
      </c>
      <c r="F1027" s="121">
        <f t="shared" ref="F1027:F1029" si="435">D1026</f>
        <v>1026</v>
      </c>
      <c r="G1027" s="118" t="s">
        <v>402</v>
      </c>
      <c r="H1027" s="118"/>
      <c r="I1027" s="117"/>
      <c r="J1027" s="117"/>
      <c r="K1027" s="131">
        <v>1</v>
      </c>
      <c r="L1027" s="131" t="s">
        <v>39</v>
      </c>
      <c r="M1027" s="132">
        <v>1</v>
      </c>
      <c r="N1027" s="117" t="s">
        <v>81</v>
      </c>
      <c r="O1027" s="133">
        <v>4</v>
      </c>
      <c r="P1027" s="117" t="s">
        <v>162</v>
      </c>
      <c r="Q1027" s="163">
        <f t="shared" ref="Q1027:Q1029" si="436">M1027*O1027</f>
        <v>4</v>
      </c>
      <c r="R1027" s="161">
        <v>1</v>
      </c>
      <c r="S1027" s="163">
        <f t="shared" ref="S1027:S1029" si="437">Q1027+R1027</f>
        <v>5</v>
      </c>
      <c r="T1027" s="165" t="s">
        <v>48</v>
      </c>
    </row>
    <row r="1028" spans="3:20" ht="20.25" customHeight="1">
      <c r="C1028" s="109"/>
      <c r="D1028" s="115">
        <f t="shared" ref="D1028:D1091" si="438">D1027+1</f>
        <v>1028</v>
      </c>
      <c r="E1028" s="119" t="s">
        <v>403</v>
      </c>
      <c r="F1028" s="121">
        <f t="shared" si="435"/>
        <v>1027</v>
      </c>
      <c r="G1028" s="118" t="s">
        <v>172</v>
      </c>
      <c r="H1028" s="118"/>
      <c r="I1028" s="117"/>
      <c r="J1028" s="117"/>
      <c r="K1028" s="131">
        <v>1</v>
      </c>
      <c r="L1028" s="154" t="s">
        <v>39</v>
      </c>
      <c r="M1028" s="132">
        <v>1</v>
      </c>
      <c r="N1028" s="117" t="s">
        <v>81</v>
      </c>
      <c r="O1028" s="133">
        <v>4</v>
      </c>
      <c r="P1028" s="117" t="s">
        <v>162</v>
      </c>
      <c r="Q1028" s="163">
        <f t="shared" si="436"/>
        <v>4</v>
      </c>
      <c r="R1028" s="161">
        <v>1</v>
      </c>
      <c r="S1028" s="163">
        <f t="shared" si="437"/>
        <v>5</v>
      </c>
      <c r="T1028" s="165" t="s">
        <v>48</v>
      </c>
    </row>
    <row r="1029" spans="3:20" ht="20.25" customHeight="1">
      <c r="C1029" s="109"/>
      <c r="D1029" s="115">
        <f t="shared" si="438"/>
        <v>1029</v>
      </c>
      <c r="E1029" s="119" t="s">
        <v>404</v>
      </c>
      <c r="F1029" s="121">
        <f t="shared" si="435"/>
        <v>1028</v>
      </c>
      <c r="G1029" s="118" t="s">
        <v>115</v>
      </c>
      <c r="H1029" s="118"/>
      <c r="I1029" s="117">
        <v>12</v>
      </c>
      <c r="J1029" s="117"/>
      <c r="K1029" s="131">
        <v>6</v>
      </c>
      <c r="L1029" s="131" t="s">
        <v>139</v>
      </c>
      <c r="M1029" s="155">
        <f>430*12*0.001</f>
        <v>5.16</v>
      </c>
      <c r="N1029" s="117" t="s">
        <v>249</v>
      </c>
      <c r="O1029" s="175">
        <f>VLOOKUP(I1029,BM!$A$2:$X$104,22,FALSE)</f>
        <v>1.6</v>
      </c>
      <c r="P1029" s="117" t="s">
        <v>162</v>
      </c>
      <c r="Q1029" s="163">
        <f t="shared" si="436"/>
        <v>8.2560000000000002</v>
      </c>
      <c r="R1029" s="161">
        <v>1</v>
      </c>
      <c r="S1029" s="163">
        <f t="shared" si="437"/>
        <v>9.2560000000000002</v>
      </c>
      <c r="T1029" s="165" t="s">
        <v>48</v>
      </c>
    </row>
    <row r="1030" spans="3:20" ht="20.25" customHeight="1">
      <c r="C1030" s="109">
        <f>D1030</f>
        <v>1030</v>
      </c>
      <c r="D1030" s="115">
        <f t="shared" si="438"/>
        <v>1030</v>
      </c>
      <c r="E1030" s="116" t="s">
        <v>405</v>
      </c>
      <c r="F1030" s="180">
        <f>D1026</f>
        <v>1026</v>
      </c>
      <c r="G1030" s="118"/>
      <c r="H1030" s="118"/>
      <c r="I1030" s="117"/>
      <c r="J1030" s="117"/>
      <c r="K1030" s="131"/>
      <c r="L1030" s="131"/>
      <c r="M1030" s="132"/>
      <c r="N1030" s="117"/>
      <c r="O1030" s="133"/>
      <c r="P1030" s="117"/>
      <c r="Q1030" s="163"/>
      <c r="R1030" s="161"/>
      <c r="S1030" s="163"/>
      <c r="T1030" s="162"/>
    </row>
    <row r="1031" spans="3:20" ht="20.25" customHeight="1">
      <c r="C1031" s="109"/>
      <c r="D1031" s="115">
        <f t="shared" si="438"/>
        <v>1031</v>
      </c>
      <c r="E1031" s="119" t="s">
        <v>406</v>
      </c>
      <c r="F1031" s="121">
        <f t="shared" ref="F1031:F1032" si="439">D1030</f>
        <v>1030</v>
      </c>
      <c r="G1031" s="118" t="s">
        <v>44</v>
      </c>
      <c r="H1031" s="118"/>
      <c r="I1031" s="117">
        <v>18</v>
      </c>
      <c r="J1031" s="117" t="s">
        <v>407</v>
      </c>
      <c r="K1031" s="131">
        <v>1</v>
      </c>
      <c r="L1031" s="131" t="s">
        <v>39</v>
      </c>
      <c r="M1031" s="132">
        <v>1</v>
      </c>
      <c r="N1031" s="117"/>
      <c r="O1031" s="133">
        <v>12</v>
      </c>
      <c r="P1031" s="117" t="s">
        <v>162</v>
      </c>
      <c r="Q1031" s="163">
        <f t="shared" ref="Q1031:Q1032" si="440">M1031*O1031</f>
        <v>12</v>
      </c>
      <c r="R1031" s="161">
        <v>1</v>
      </c>
      <c r="S1031" s="163">
        <f t="shared" ref="S1031:S1032" si="441">Q1031+R1031</f>
        <v>13</v>
      </c>
      <c r="T1031" s="165" t="s">
        <v>48</v>
      </c>
    </row>
    <row r="1032" spans="3:20" ht="20.25" customHeight="1">
      <c r="C1032" s="109"/>
      <c r="D1032" s="115">
        <f t="shared" si="438"/>
        <v>1032</v>
      </c>
      <c r="E1032" s="119" t="s">
        <v>64</v>
      </c>
      <c r="F1032" s="121">
        <f t="shared" si="439"/>
        <v>1031</v>
      </c>
      <c r="G1032" s="118" t="s">
        <v>44</v>
      </c>
      <c r="H1032" s="118"/>
      <c r="I1032" s="117">
        <v>18</v>
      </c>
      <c r="J1032" s="121" t="str">
        <f>J1031</f>
        <v>6130 lg</v>
      </c>
      <c r="K1032" s="177">
        <f>K1031</f>
        <v>1</v>
      </c>
      <c r="L1032" s="177" t="str">
        <f>L1031</f>
        <v>No</v>
      </c>
      <c r="M1032" s="155">
        <f>M1031</f>
        <v>1</v>
      </c>
      <c r="N1032" s="117"/>
      <c r="O1032" s="133">
        <v>1</v>
      </c>
      <c r="P1032" s="117" t="s">
        <v>41</v>
      </c>
      <c r="Q1032" s="163">
        <f t="shared" si="440"/>
        <v>1</v>
      </c>
      <c r="R1032" s="161"/>
      <c r="S1032" s="163">
        <f t="shared" si="441"/>
        <v>1</v>
      </c>
      <c r="T1032" s="165" t="s">
        <v>41</v>
      </c>
    </row>
    <row r="1033" spans="3:20" ht="20.25" customHeight="1">
      <c r="C1033" s="109">
        <f t="shared" ref="C1033:C1034" si="442">D1033</f>
        <v>1033</v>
      </c>
      <c r="D1033" s="115">
        <f t="shared" si="438"/>
        <v>1033</v>
      </c>
      <c r="E1033" s="176" t="s">
        <v>766</v>
      </c>
      <c r="F1033" s="121"/>
      <c r="G1033" s="118"/>
      <c r="H1033" s="118"/>
      <c r="I1033" s="117"/>
      <c r="J1033" s="117"/>
      <c r="K1033" s="131"/>
      <c r="L1033" s="131"/>
      <c r="M1033" s="132"/>
      <c r="N1033" s="117"/>
      <c r="O1033" s="133"/>
      <c r="P1033" s="117"/>
      <c r="Q1033" s="163"/>
      <c r="R1033" s="161"/>
      <c r="S1033" s="163"/>
      <c r="T1033" s="162"/>
    </row>
    <row r="1034" spans="3:20" ht="20.25" customHeight="1">
      <c r="C1034" s="109">
        <f t="shared" si="442"/>
        <v>1034</v>
      </c>
      <c r="D1034" s="115">
        <f t="shared" si="438"/>
        <v>1034</v>
      </c>
      <c r="E1034" s="116" t="s">
        <v>426</v>
      </c>
      <c r="F1034" s="125">
        <f>D624</f>
        <v>624</v>
      </c>
      <c r="G1034" s="118"/>
      <c r="H1034" s="118"/>
      <c r="I1034" s="117"/>
      <c r="J1034" s="117"/>
      <c r="K1034" s="131"/>
      <c r="L1034" s="131"/>
      <c r="M1034" s="132"/>
      <c r="N1034" s="117"/>
      <c r="O1034" s="133"/>
      <c r="P1034" s="117"/>
      <c r="Q1034" s="163"/>
      <c r="R1034" s="161"/>
      <c r="S1034" s="163"/>
      <c r="T1034" s="162"/>
    </row>
    <row r="1035" spans="3:20" ht="20.25" customHeight="1">
      <c r="C1035" s="109"/>
      <c r="D1035" s="115">
        <f t="shared" si="438"/>
        <v>1035</v>
      </c>
      <c r="E1035" s="119" t="s">
        <v>410</v>
      </c>
      <c r="F1035" s="121">
        <f t="shared" ref="F1035:F1040" si="443">D1034</f>
        <v>1034</v>
      </c>
      <c r="G1035" s="118" t="s">
        <v>37</v>
      </c>
      <c r="H1035" s="118"/>
      <c r="I1035" s="117"/>
      <c r="J1035" s="117"/>
      <c r="K1035" s="131">
        <v>1</v>
      </c>
      <c r="L1035" s="154" t="s">
        <v>39</v>
      </c>
      <c r="M1035" s="132">
        <v>1</v>
      </c>
      <c r="N1035" s="145" t="s">
        <v>39</v>
      </c>
      <c r="O1035" s="133">
        <v>4</v>
      </c>
      <c r="P1035" s="145" t="s">
        <v>41</v>
      </c>
      <c r="Q1035" s="163">
        <f t="shared" ref="Q1035:Q1040" si="444">M1035*O1035</f>
        <v>4</v>
      </c>
      <c r="R1035" s="161"/>
      <c r="S1035" s="163">
        <f t="shared" ref="S1035:S1040" si="445">Q1035+R1035</f>
        <v>4</v>
      </c>
      <c r="T1035" s="165" t="s">
        <v>41</v>
      </c>
    </row>
    <row r="1036" spans="3:20" ht="20.25" customHeight="1">
      <c r="C1036" s="109"/>
      <c r="D1036" s="115">
        <f t="shared" si="438"/>
        <v>1036</v>
      </c>
      <c r="E1036" s="119" t="s">
        <v>411</v>
      </c>
      <c r="F1036" s="121">
        <f t="shared" si="443"/>
        <v>1035</v>
      </c>
      <c r="G1036" s="118" t="s">
        <v>201</v>
      </c>
      <c r="H1036" s="118"/>
      <c r="I1036" s="117">
        <v>18</v>
      </c>
      <c r="J1036" s="145" t="s">
        <v>412</v>
      </c>
      <c r="K1036" s="131">
        <v>1</v>
      </c>
      <c r="L1036" s="131" t="s">
        <v>81</v>
      </c>
      <c r="M1036" s="141">
        <f t="shared" ref="M1036:M1040" si="446">LEFT(J1036,SEARCH(" ",J1036,1)-1)*K1036*0.001</f>
        <v>0.83100000000000007</v>
      </c>
      <c r="N1036" s="117" t="s">
        <v>139</v>
      </c>
      <c r="O1036" s="175">
        <f>VLOOKUP(I1036,BM!$A$2:$X$104,2,FALSE)</f>
        <v>0.1</v>
      </c>
      <c r="P1036" s="117" t="s">
        <v>112</v>
      </c>
      <c r="Q1036" s="163">
        <f t="shared" si="444"/>
        <v>8.3100000000000007E-2</v>
      </c>
      <c r="R1036" s="161">
        <v>1</v>
      </c>
      <c r="S1036" s="163">
        <f t="shared" si="445"/>
        <v>1.0831</v>
      </c>
      <c r="T1036" s="165" t="s">
        <v>48</v>
      </c>
    </row>
    <row r="1037" spans="3:20" ht="20.25" customHeight="1">
      <c r="C1037" s="109"/>
      <c r="D1037" s="115">
        <f t="shared" si="438"/>
        <v>1037</v>
      </c>
      <c r="E1037" s="119" t="s">
        <v>413</v>
      </c>
      <c r="F1037" s="121">
        <f t="shared" si="443"/>
        <v>1036</v>
      </c>
      <c r="G1037" s="118" t="s">
        <v>52</v>
      </c>
      <c r="H1037" s="118"/>
      <c r="I1037" s="121">
        <f t="shared" ref="I1037:J1037" si="447">I1036</f>
        <v>18</v>
      </c>
      <c r="J1037" s="121" t="str">
        <f t="shared" si="447"/>
        <v>831 mm</v>
      </c>
      <c r="K1037" s="131">
        <v>1</v>
      </c>
      <c r="L1037" s="131" t="s">
        <v>81</v>
      </c>
      <c r="M1037" s="141">
        <f t="shared" si="446"/>
        <v>0.83100000000000007</v>
      </c>
      <c r="N1037" s="117" t="s">
        <v>139</v>
      </c>
      <c r="O1037" s="175">
        <f>VLOOKUP(I1037,BM!$A$2:$X$104,3,FALSE)</f>
        <v>0.25</v>
      </c>
      <c r="P1037" s="117" t="s">
        <v>112</v>
      </c>
      <c r="Q1037" s="163">
        <f t="shared" si="444"/>
        <v>0.20775000000000002</v>
      </c>
      <c r="R1037" s="161">
        <v>1</v>
      </c>
      <c r="S1037" s="163">
        <f t="shared" si="445"/>
        <v>1.2077500000000001</v>
      </c>
      <c r="T1037" s="165" t="s">
        <v>48</v>
      </c>
    </row>
    <row r="1038" spans="3:20" ht="20.25" customHeight="1">
      <c r="C1038" s="109"/>
      <c r="D1038" s="115">
        <f t="shared" si="438"/>
        <v>1038</v>
      </c>
      <c r="E1038" s="119" t="s">
        <v>414</v>
      </c>
      <c r="F1038" s="121">
        <f t="shared" si="443"/>
        <v>1037</v>
      </c>
      <c r="G1038" s="118" t="s">
        <v>61</v>
      </c>
      <c r="H1038" s="118"/>
      <c r="I1038" s="121">
        <f t="shared" ref="I1038:J1038" si="448">I1037</f>
        <v>18</v>
      </c>
      <c r="J1038" s="121" t="str">
        <f t="shared" si="448"/>
        <v>831 mm</v>
      </c>
      <c r="K1038" s="131">
        <v>1</v>
      </c>
      <c r="L1038" s="131" t="s">
        <v>81</v>
      </c>
      <c r="M1038" s="141">
        <f t="shared" si="446"/>
        <v>0.83100000000000007</v>
      </c>
      <c r="N1038" s="117" t="s">
        <v>139</v>
      </c>
      <c r="O1038" s="175">
        <f>VLOOKUP(I1038,BM!$A$2:$X$104,4,FALSE)</f>
        <v>0.15</v>
      </c>
      <c r="P1038" s="117" t="s">
        <v>112</v>
      </c>
      <c r="Q1038" s="163">
        <f t="shared" si="444"/>
        <v>0.12465000000000001</v>
      </c>
      <c r="R1038" s="161">
        <v>1</v>
      </c>
      <c r="S1038" s="163">
        <f t="shared" si="445"/>
        <v>1.1246499999999999</v>
      </c>
      <c r="T1038" s="165" t="s">
        <v>48</v>
      </c>
    </row>
    <row r="1039" spans="3:20" ht="20.25" customHeight="1">
      <c r="C1039" s="109"/>
      <c r="D1039" s="115">
        <f t="shared" si="438"/>
        <v>1039</v>
      </c>
      <c r="E1039" s="119" t="s">
        <v>415</v>
      </c>
      <c r="F1039" s="121">
        <f t="shared" si="443"/>
        <v>1038</v>
      </c>
      <c r="G1039" s="118" t="s">
        <v>224</v>
      </c>
      <c r="H1039" s="118"/>
      <c r="I1039" s="121">
        <f t="shared" ref="I1039:J1039" si="449">I1038</f>
        <v>18</v>
      </c>
      <c r="J1039" s="121" t="str">
        <f t="shared" si="449"/>
        <v>831 mm</v>
      </c>
      <c r="K1039" s="131">
        <v>1</v>
      </c>
      <c r="L1039" s="131" t="s">
        <v>81</v>
      </c>
      <c r="M1039" s="141">
        <f t="shared" si="446"/>
        <v>0.83100000000000007</v>
      </c>
      <c r="N1039" s="117" t="s">
        <v>139</v>
      </c>
      <c r="O1039" s="175">
        <f>VLOOKUP(I1039,BM!$A$2:$X$104,5,FALSE)</f>
        <v>0.5</v>
      </c>
      <c r="P1039" s="117" t="s">
        <v>112</v>
      </c>
      <c r="Q1039" s="163">
        <f t="shared" si="444"/>
        <v>0.41550000000000004</v>
      </c>
      <c r="R1039" s="161">
        <v>1</v>
      </c>
      <c r="S1039" s="163">
        <f t="shared" si="445"/>
        <v>1.4155</v>
      </c>
      <c r="T1039" s="165" t="s">
        <v>48</v>
      </c>
    </row>
    <row r="1040" spans="3:20" ht="20.25" customHeight="1">
      <c r="C1040" s="109"/>
      <c r="D1040" s="115">
        <f t="shared" si="438"/>
        <v>1040</v>
      </c>
      <c r="E1040" s="119" t="s">
        <v>416</v>
      </c>
      <c r="F1040" s="121">
        <f t="shared" si="443"/>
        <v>1039</v>
      </c>
      <c r="G1040" s="118" t="s">
        <v>61</v>
      </c>
      <c r="H1040" s="118"/>
      <c r="I1040" s="121">
        <f t="shared" ref="I1040:J1040" si="450">I1039</f>
        <v>18</v>
      </c>
      <c r="J1040" s="121" t="str">
        <f t="shared" si="450"/>
        <v>831 mm</v>
      </c>
      <c r="K1040" s="131">
        <v>1</v>
      </c>
      <c r="L1040" s="131" t="s">
        <v>81</v>
      </c>
      <c r="M1040" s="141">
        <f t="shared" si="446"/>
        <v>0.83100000000000007</v>
      </c>
      <c r="N1040" s="117" t="s">
        <v>139</v>
      </c>
      <c r="O1040" s="175">
        <f>VLOOKUP(I1040,BM!$A$2:$X$104,6,FALSE)</f>
        <v>1</v>
      </c>
      <c r="P1040" s="117" t="s">
        <v>112</v>
      </c>
      <c r="Q1040" s="163">
        <f t="shared" si="444"/>
        <v>0.83100000000000007</v>
      </c>
      <c r="R1040" s="161">
        <v>1</v>
      </c>
      <c r="S1040" s="163">
        <f t="shared" si="445"/>
        <v>1.831</v>
      </c>
      <c r="T1040" s="165" t="s">
        <v>48</v>
      </c>
    </row>
    <row r="1041" spans="3:20" ht="20.25" customHeight="1">
      <c r="C1041" s="109">
        <f>D1041</f>
        <v>1041</v>
      </c>
      <c r="D1041" s="115">
        <f t="shared" si="438"/>
        <v>1041</v>
      </c>
      <c r="E1041" s="116" t="s">
        <v>767</v>
      </c>
      <c r="F1041" s="121">
        <f>D1034</f>
        <v>1034</v>
      </c>
      <c r="G1041" s="118"/>
      <c r="H1041" s="118"/>
      <c r="I1041" s="117"/>
      <c r="J1041" s="117"/>
      <c r="K1041" s="131"/>
      <c r="L1041" s="131"/>
      <c r="M1041" s="132"/>
      <c r="N1041" s="117"/>
      <c r="O1041" s="133"/>
      <c r="P1041" s="117"/>
      <c r="Q1041" s="163"/>
      <c r="R1041" s="161"/>
      <c r="S1041" s="163"/>
      <c r="T1041" s="162"/>
    </row>
    <row r="1042" spans="3:20" ht="20.25" customHeight="1">
      <c r="C1042" s="109"/>
      <c r="D1042" s="115">
        <f t="shared" si="438"/>
        <v>1042</v>
      </c>
      <c r="E1042" s="119" t="s">
        <v>418</v>
      </c>
      <c r="F1042" s="121">
        <f t="shared" ref="F1042:F1045" si="451">D1041</f>
        <v>1041</v>
      </c>
      <c r="G1042" s="118" t="s">
        <v>286</v>
      </c>
      <c r="H1042" s="118"/>
      <c r="I1042" s="121">
        <f>I1040</f>
        <v>18</v>
      </c>
      <c r="J1042" s="121" t="str">
        <f>J1040</f>
        <v>831 mm</v>
      </c>
      <c r="K1042" s="131">
        <v>1</v>
      </c>
      <c r="L1042" s="131" t="s">
        <v>81</v>
      </c>
      <c r="M1042" s="132">
        <v>1</v>
      </c>
      <c r="N1042" s="117" t="s">
        <v>139</v>
      </c>
      <c r="O1042" s="133">
        <v>3</v>
      </c>
      <c r="P1042" s="117" t="s">
        <v>112</v>
      </c>
      <c r="Q1042" s="163">
        <f t="shared" ref="Q1042:Q1045" si="452">M1042*O1042</f>
        <v>3</v>
      </c>
      <c r="R1042" s="161">
        <v>1</v>
      </c>
      <c r="S1042" s="163">
        <f t="shared" ref="S1042:S1045" si="453">Q1042+R1042</f>
        <v>4</v>
      </c>
      <c r="T1042" s="165" t="s">
        <v>48</v>
      </c>
    </row>
    <row r="1043" spans="3:20" ht="20.25" customHeight="1">
      <c r="C1043" s="109"/>
      <c r="D1043" s="115">
        <f t="shared" si="438"/>
        <v>1043</v>
      </c>
      <c r="E1043" s="119" t="s">
        <v>419</v>
      </c>
      <c r="F1043" s="121">
        <f t="shared" si="451"/>
        <v>1042</v>
      </c>
      <c r="G1043" s="118" t="s">
        <v>420</v>
      </c>
      <c r="H1043" s="118"/>
      <c r="I1043" s="121">
        <f t="shared" ref="I1043:J1043" si="454">I1042</f>
        <v>18</v>
      </c>
      <c r="J1043" s="121" t="str">
        <f t="shared" si="454"/>
        <v>831 mm</v>
      </c>
      <c r="K1043" s="131">
        <v>1</v>
      </c>
      <c r="L1043" s="131" t="s">
        <v>81</v>
      </c>
      <c r="M1043" s="141">
        <f>LEFT(J1043,SEARCH(" ",J1043,1)-1)*K1043*0.001*2</f>
        <v>1.6620000000000001</v>
      </c>
      <c r="N1043" s="117" t="s">
        <v>139</v>
      </c>
      <c r="O1043" s="175">
        <f>VLOOKUP(I1043,BM!$A$2:$X$104,8,FALSE)</f>
        <v>0.3</v>
      </c>
      <c r="P1043" s="117" t="s">
        <v>112</v>
      </c>
      <c r="Q1043" s="163">
        <f t="shared" si="452"/>
        <v>0.49860000000000004</v>
      </c>
      <c r="R1043" s="161">
        <v>1</v>
      </c>
      <c r="S1043" s="163">
        <f t="shared" si="453"/>
        <v>1.4986000000000002</v>
      </c>
      <c r="T1043" s="165" t="s">
        <v>48</v>
      </c>
    </row>
    <row r="1044" spans="3:20" ht="20.25" customHeight="1">
      <c r="C1044" s="109"/>
      <c r="D1044" s="115">
        <f t="shared" si="438"/>
        <v>1044</v>
      </c>
      <c r="E1044" s="119" t="s">
        <v>421</v>
      </c>
      <c r="F1044" s="121">
        <f t="shared" si="451"/>
        <v>1043</v>
      </c>
      <c r="G1044" s="118" t="s">
        <v>348</v>
      </c>
      <c r="H1044" s="118"/>
      <c r="I1044" s="121">
        <f t="shared" ref="I1044:J1044" si="455">I1043</f>
        <v>18</v>
      </c>
      <c r="J1044" s="121" t="str">
        <f t="shared" si="455"/>
        <v>831 mm</v>
      </c>
      <c r="K1044" s="131">
        <v>1</v>
      </c>
      <c r="L1044" s="131" t="s">
        <v>81</v>
      </c>
      <c r="M1044" s="141">
        <f>LEFT(J1044,SEARCH(" ",J1044,1)-1)*K1044*0.001*2</f>
        <v>1.6620000000000001</v>
      </c>
      <c r="N1044" s="117" t="s">
        <v>139</v>
      </c>
      <c r="O1044" s="175">
        <f>VLOOKUP(I1044,BM!$A$2:$X$104,9,FALSE)</f>
        <v>1</v>
      </c>
      <c r="P1044" s="117" t="s">
        <v>112</v>
      </c>
      <c r="Q1044" s="163">
        <f t="shared" si="452"/>
        <v>1.6620000000000001</v>
      </c>
      <c r="R1044" s="161">
        <v>1</v>
      </c>
      <c r="S1044" s="163">
        <f t="shared" si="453"/>
        <v>2.6619999999999999</v>
      </c>
      <c r="T1044" s="165" t="s">
        <v>48</v>
      </c>
    </row>
    <row r="1045" spans="3:20" ht="20.25" customHeight="1">
      <c r="C1045" s="109"/>
      <c r="D1045" s="115">
        <f t="shared" si="438"/>
        <v>1045</v>
      </c>
      <c r="E1045" s="119" t="s">
        <v>422</v>
      </c>
      <c r="F1045" s="121">
        <f t="shared" si="451"/>
        <v>1044</v>
      </c>
      <c r="G1045" s="118" t="s">
        <v>286</v>
      </c>
      <c r="H1045" s="118"/>
      <c r="I1045" s="121">
        <f t="shared" ref="I1045:J1045" si="456">I1044</f>
        <v>18</v>
      </c>
      <c r="J1045" s="121" t="str">
        <f t="shared" si="456"/>
        <v>831 mm</v>
      </c>
      <c r="K1045" s="131">
        <v>1</v>
      </c>
      <c r="L1045" s="131" t="s">
        <v>81</v>
      </c>
      <c r="M1045" s="141">
        <v>1</v>
      </c>
      <c r="N1045" s="145" t="s">
        <v>39</v>
      </c>
      <c r="O1045" s="133">
        <v>3</v>
      </c>
      <c r="P1045" s="117" t="s">
        <v>112</v>
      </c>
      <c r="Q1045" s="163">
        <f t="shared" si="452"/>
        <v>3</v>
      </c>
      <c r="R1045" s="161">
        <v>1</v>
      </c>
      <c r="S1045" s="163">
        <f t="shared" si="453"/>
        <v>4</v>
      </c>
      <c r="T1045" s="165" t="s">
        <v>48</v>
      </c>
    </row>
    <row r="1046" spans="3:20" ht="20.25" customHeight="1">
      <c r="C1046" s="109">
        <f>D1046</f>
        <v>1046</v>
      </c>
      <c r="D1046" s="115">
        <f t="shared" si="438"/>
        <v>1046</v>
      </c>
      <c r="E1046" s="116" t="s">
        <v>423</v>
      </c>
      <c r="F1046" s="121">
        <f>D1041</f>
        <v>1041</v>
      </c>
      <c r="G1046" s="118"/>
      <c r="H1046" s="118"/>
      <c r="I1046" s="117"/>
      <c r="J1046" s="117"/>
      <c r="K1046" s="131"/>
      <c r="L1046" s="131"/>
      <c r="M1046" s="132"/>
      <c r="N1046" s="117"/>
      <c r="O1046" s="133"/>
      <c r="P1046" s="117"/>
      <c r="Q1046" s="163"/>
      <c r="R1046" s="161"/>
      <c r="S1046" s="163"/>
      <c r="T1046" s="162"/>
    </row>
    <row r="1047" spans="3:20" ht="20.25" customHeight="1">
      <c r="C1047" s="109"/>
      <c r="D1047" s="115">
        <f t="shared" si="438"/>
        <v>1047</v>
      </c>
      <c r="E1047" s="119" t="s">
        <v>424</v>
      </c>
      <c r="F1047" s="121">
        <f t="shared" ref="F1047:F1048" si="457">D1046</f>
        <v>1046</v>
      </c>
      <c r="G1047" s="118" t="s">
        <v>348</v>
      </c>
      <c r="H1047" s="118"/>
      <c r="I1047" s="117">
        <v>18</v>
      </c>
      <c r="J1047" s="121" t="str">
        <f>J1045</f>
        <v>831 mm</v>
      </c>
      <c r="K1047" s="131">
        <v>1</v>
      </c>
      <c r="L1047" s="131" t="s">
        <v>81</v>
      </c>
      <c r="M1047" s="141">
        <f>LEFT(J1047,SEARCH(" ",J1047,1)-1)*K1047*0.001*2</f>
        <v>1.6620000000000001</v>
      </c>
      <c r="N1047" s="117" t="s">
        <v>139</v>
      </c>
      <c r="O1047" s="175">
        <f>VLOOKUP(I1047,BM!$A$2:$X$104,9,FALSE)</f>
        <v>1</v>
      </c>
      <c r="P1047" s="117" t="s">
        <v>112</v>
      </c>
      <c r="Q1047" s="163">
        <f t="shared" ref="Q1047:Q1048" si="458">M1047*O1047</f>
        <v>1.6620000000000001</v>
      </c>
      <c r="R1047" s="161">
        <v>1</v>
      </c>
      <c r="S1047" s="163">
        <f t="shared" ref="S1047:S1048" si="459">Q1047+R1047</f>
        <v>2.6619999999999999</v>
      </c>
      <c r="T1047" s="165" t="s">
        <v>48</v>
      </c>
    </row>
    <row r="1048" spans="3:20" ht="20.25" customHeight="1">
      <c r="C1048" s="109"/>
      <c r="D1048" s="115">
        <f t="shared" si="438"/>
        <v>1048</v>
      </c>
      <c r="E1048" s="119" t="s">
        <v>425</v>
      </c>
      <c r="F1048" s="121">
        <f t="shared" si="457"/>
        <v>1047</v>
      </c>
      <c r="G1048" s="118" t="s">
        <v>111</v>
      </c>
      <c r="H1048" s="118"/>
      <c r="I1048" s="117">
        <v>18</v>
      </c>
      <c r="J1048" s="121" t="str">
        <f>J1047</f>
        <v>831 mm</v>
      </c>
      <c r="K1048" s="131">
        <v>1</v>
      </c>
      <c r="L1048" s="131" t="s">
        <v>81</v>
      </c>
      <c r="M1048" s="141">
        <f>LEFT(J1048,SEARCH(" ",J1048,1)-1)*K1048*0.001</f>
        <v>0.83100000000000007</v>
      </c>
      <c r="N1048" s="117" t="s">
        <v>139</v>
      </c>
      <c r="O1048" s="175">
        <f>VLOOKUP(I1048,BM!$A$2:$X$104,10,FALSE)</f>
        <v>1</v>
      </c>
      <c r="P1048" s="117" t="s">
        <v>112</v>
      </c>
      <c r="Q1048" s="163">
        <f t="shared" si="458"/>
        <v>0.83100000000000007</v>
      </c>
      <c r="R1048" s="161">
        <v>1</v>
      </c>
      <c r="S1048" s="163">
        <f t="shared" si="459"/>
        <v>1.831</v>
      </c>
      <c r="T1048" s="165" t="s">
        <v>48</v>
      </c>
    </row>
    <row r="1049" spans="3:20" ht="20.25" customHeight="1">
      <c r="C1049" s="109">
        <f>D1049</f>
        <v>1049</v>
      </c>
      <c r="D1049" s="115">
        <f t="shared" si="438"/>
        <v>1049</v>
      </c>
      <c r="E1049" s="116" t="s">
        <v>426</v>
      </c>
      <c r="F1049" s="121">
        <f>D1046</f>
        <v>1046</v>
      </c>
      <c r="G1049" s="118"/>
      <c r="H1049" s="118"/>
      <c r="I1049" s="117"/>
      <c r="J1049" s="117"/>
      <c r="K1049" s="131"/>
      <c r="L1049" s="131"/>
      <c r="M1049" s="132"/>
      <c r="N1049" s="117"/>
      <c r="O1049" s="133"/>
      <c r="P1049" s="117"/>
      <c r="Q1049" s="163"/>
      <c r="R1049" s="161"/>
      <c r="S1049" s="163"/>
      <c r="T1049" s="162"/>
    </row>
    <row r="1050" spans="3:20" ht="20.25" customHeight="1">
      <c r="C1050" s="109"/>
      <c r="D1050" s="115">
        <f t="shared" si="438"/>
        <v>1050</v>
      </c>
      <c r="E1050" s="119" t="s">
        <v>427</v>
      </c>
      <c r="F1050" s="121">
        <f t="shared" ref="F1050:F1055" si="460">D1049</f>
        <v>1049</v>
      </c>
      <c r="G1050" s="118" t="s">
        <v>201</v>
      </c>
      <c r="H1050" s="118"/>
      <c r="I1050" s="117">
        <v>18</v>
      </c>
      <c r="J1050" s="121" t="str">
        <f>J1048</f>
        <v>831 mm</v>
      </c>
      <c r="K1050" s="131">
        <v>1</v>
      </c>
      <c r="L1050" s="131" t="s">
        <v>81</v>
      </c>
      <c r="M1050" s="132">
        <v>1</v>
      </c>
      <c r="N1050" s="117" t="s">
        <v>139</v>
      </c>
      <c r="O1050" s="133">
        <v>1</v>
      </c>
      <c r="P1050" s="117" t="s">
        <v>112</v>
      </c>
      <c r="Q1050" s="163">
        <f t="shared" ref="Q1050:Q1055" si="461">M1050*O1050</f>
        <v>1</v>
      </c>
      <c r="R1050" s="161">
        <v>1</v>
      </c>
      <c r="S1050" s="163">
        <f t="shared" ref="S1050:S1055" si="462">Q1050+R1050</f>
        <v>2</v>
      </c>
      <c r="T1050" s="165" t="s">
        <v>48</v>
      </c>
    </row>
    <row r="1051" spans="3:20" ht="20.25" customHeight="1">
      <c r="C1051" s="109"/>
      <c r="D1051" s="115">
        <f t="shared" si="438"/>
        <v>1051</v>
      </c>
      <c r="E1051" s="119" t="s">
        <v>428</v>
      </c>
      <c r="F1051" s="121">
        <f t="shared" si="460"/>
        <v>1050</v>
      </c>
      <c r="G1051" s="118" t="s">
        <v>115</v>
      </c>
      <c r="H1051" s="118"/>
      <c r="I1051" s="117">
        <v>12</v>
      </c>
      <c r="J1051" s="121" t="str">
        <f t="shared" ref="J1051:J1055" si="463">J1050</f>
        <v>831 mm</v>
      </c>
      <c r="K1051" s="131">
        <v>1</v>
      </c>
      <c r="L1051" s="131" t="s">
        <v>81</v>
      </c>
      <c r="M1051" s="141">
        <f t="shared" ref="M1051:M1054" si="464">LEFT(J1051,SEARCH(" ",J1051,1)-1)*K1051*0.001</f>
        <v>0.83100000000000007</v>
      </c>
      <c r="N1051" s="117" t="s">
        <v>139</v>
      </c>
      <c r="O1051" s="175">
        <f>VLOOKUP(I1051,BM!$A$2:$X$104,12,FALSE)</f>
        <v>2.5</v>
      </c>
      <c r="P1051" s="117" t="s">
        <v>112</v>
      </c>
      <c r="Q1051" s="163">
        <f t="shared" si="461"/>
        <v>2.0775000000000001</v>
      </c>
      <c r="R1051" s="161">
        <v>1</v>
      </c>
      <c r="S1051" s="163">
        <f t="shared" si="462"/>
        <v>3.0775000000000001</v>
      </c>
      <c r="T1051" s="162" t="str">
        <f>T1050</f>
        <v>Hrs</v>
      </c>
    </row>
    <row r="1052" spans="3:20" ht="20.25" customHeight="1">
      <c r="C1052" s="109"/>
      <c r="D1052" s="115">
        <f t="shared" si="438"/>
        <v>1052</v>
      </c>
      <c r="E1052" s="119" t="s">
        <v>429</v>
      </c>
      <c r="F1052" s="121">
        <f t="shared" si="460"/>
        <v>1051</v>
      </c>
      <c r="G1052" s="118" t="s">
        <v>121</v>
      </c>
      <c r="H1052" s="118"/>
      <c r="I1052" s="117">
        <v>18</v>
      </c>
      <c r="J1052" s="121" t="str">
        <f t="shared" si="463"/>
        <v>831 mm</v>
      </c>
      <c r="K1052" s="131">
        <v>1</v>
      </c>
      <c r="L1052" s="131" t="s">
        <v>81</v>
      </c>
      <c r="M1052" s="141">
        <f t="shared" si="464"/>
        <v>0.83100000000000007</v>
      </c>
      <c r="N1052" s="117" t="s">
        <v>139</v>
      </c>
      <c r="O1052" s="175">
        <f>VLOOKUP(I1052,BM!$A$2:$X$104,18,FALSE)</f>
        <v>1</v>
      </c>
      <c r="P1052" s="117" t="s">
        <v>112</v>
      </c>
      <c r="Q1052" s="163">
        <f t="shared" si="461"/>
        <v>0.83100000000000007</v>
      </c>
      <c r="R1052" s="161">
        <v>1</v>
      </c>
      <c r="S1052" s="163">
        <f t="shared" si="462"/>
        <v>1.831</v>
      </c>
      <c r="T1052" s="162" t="str">
        <f>T1051</f>
        <v>Hrs</v>
      </c>
    </row>
    <row r="1053" spans="3:20" ht="20.25" customHeight="1">
      <c r="C1053" s="109"/>
      <c r="D1053" s="115">
        <f t="shared" si="438"/>
        <v>1053</v>
      </c>
      <c r="E1053" s="119" t="s">
        <v>430</v>
      </c>
      <c r="F1053" s="121">
        <f t="shared" si="460"/>
        <v>1052</v>
      </c>
      <c r="G1053" s="118" t="s">
        <v>115</v>
      </c>
      <c r="H1053" s="118"/>
      <c r="I1053" s="117">
        <v>6</v>
      </c>
      <c r="J1053" s="121" t="str">
        <f t="shared" si="463"/>
        <v>831 mm</v>
      </c>
      <c r="K1053" s="131">
        <v>1</v>
      </c>
      <c r="L1053" s="131" t="s">
        <v>81</v>
      </c>
      <c r="M1053" s="141">
        <f t="shared" si="464"/>
        <v>0.83100000000000007</v>
      </c>
      <c r="N1053" s="117" t="s">
        <v>139</v>
      </c>
      <c r="O1053" s="175">
        <f>VLOOKUP(I1053,BM!$A$2:$X$104,12,FALSE)</f>
        <v>0.9</v>
      </c>
      <c r="P1053" s="117" t="s">
        <v>112</v>
      </c>
      <c r="Q1053" s="163">
        <f t="shared" si="461"/>
        <v>0.74790000000000012</v>
      </c>
      <c r="R1053" s="161">
        <v>1</v>
      </c>
      <c r="S1053" s="163">
        <f t="shared" si="462"/>
        <v>1.7479</v>
      </c>
      <c r="T1053" s="162" t="str">
        <f>T1052</f>
        <v>Hrs</v>
      </c>
    </row>
    <row r="1054" spans="3:20" ht="20.25" customHeight="1">
      <c r="C1054" s="109"/>
      <c r="D1054" s="115">
        <f t="shared" si="438"/>
        <v>1054</v>
      </c>
      <c r="E1054" s="119" t="s">
        <v>431</v>
      </c>
      <c r="F1054" s="121">
        <f t="shared" si="460"/>
        <v>1053</v>
      </c>
      <c r="G1054" s="118" t="s">
        <v>61</v>
      </c>
      <c r="H1054" s="118"/>
      <c r="I1054" s="117">
        <v>6</v>
      </c>
      <c r="J1054" s="121" t="str">
        <f t="shared" si="463"/>
        <v>831 mm</v>
      </c>
      <c r="K1054" s="131">
        <v>1</v>
      </c>
      <c r="L1054" s="131" t="s">
        <v>81</v>
      </c>
      <c r="M1054" s="141">
        <f t="shared" si="464"/>
        <v>0.83100000000000007</v>
      </c>
      <c r="N1054" s="117" t="s">
        <v>139</v>
      </c>
      <c r="O1054" s="175">
        <f>VLOOKUP(I1054,BM!$A$2:$X$104,20,FALSE)</f>
        <v>0.5</v>
      </c>
      <c r="P1054" s="117" t="s">
        <v>112</v>
      </c>
      <c r="Q1054" s="163">
        <f t="shared" si="461"/>
        <v>0.41550000000000004</v>
      </c>
      <c r="R1054" s="161">
        <v>1</v>
      </c>
      <c r="S1054" s="163">
        <f t="shared" si="462"/>
        <v>1.4155</v>
      </c>
      <c r="T1054" s="162" t="str">
        <f>T1053</f>
        <v>Hrs</v>
      </c>
    </row>
    <row r="1055" spans="3:20" ht="20.25" customHeight="1">
      <c r="C1055" s="109"/>
      <c r="D1055" s="115">
        <f t="shared" si="438"/>
        <v>1055</v>
      </c>
      <c r="E1055" s="119" t="s">
        <v>432</v>
      </c>
      <c r="F1055" s="121">
        <f t="shared" si="460"/>
        <v>1054</v>
      </c>
      <c r="G1055" s="118" t="s">
        <v>286</v>
      </c>
      <c r="H1055" s="118"/>
      <c r="I1055" s="117">
        <v>18</v>
      </c>
      <c r="J1055" s="121" t="str">
        <f t="shared" si="463"/>
        <v>831 mm</v>
      </c>
      <c r="K1055" s="131">
        <v>1</v>
      </c>
      <c r="L1055" s="131" t="s">
        <v>81</v>
      </c>
      <c r="M1055" s="132">
        <v>1</v>
      </c>
      <c r="N1055" s="145" t="s">
        <v>81</v>
      </c>
      <c r="O1055" s="133">
        <v>3</v>
      </c>
      <c r="P1055" s="117" t="s">
        <v>112</v>
      </c>
      <c r="Q1055" s="163">
        <f t="shared" si="461"/>
        <v>3</v>
      </c>
      <c r="R1055" s="161">
        <v>1</v>
      </c>
      <c r="S1055" s="163">
        <f t="shared" si="462"/>
        <v>4</v>
      </c>
      <c r="T1055" s="162" t="str">
        <f>T1054</f>
        <v>Hrs</v>
      </c>
    </row>
    <row r="1056" spans="3:20" ht="20.25" customHeight="1">
      <c r="C1056" s="109">
        <f>D1056</f>
        <v>1056</v>
      </c>
      <c r="D1056" s="115">
        <f t="shared" si="438"/>
        <v>1056</v>
      </c>
      <c r="E1056" s="116" t="s">
        <v>433</v>
      </c>
      <c r="F1056" s="121">
        <f>D1049</f>
        <v>1049</v>
      </c>
      <c r="G1056" s="118"/>
      <c r="H1056" s="118"/>
      <c r="I1056" s="117"/>
      <c r="J1056" s="117"/>
      <c r="K1056" s="131"/>
      <c r="L1056" s="131"/>
      <c r="M1056" s="132"/>
      <c r="N1056" s="117"/>
      <c r="O1056" s="133"/>
      <c r="P1056" s="117"/>
      <c r="Q1056" s="163"/>
      <c r="R1056" s="161"/>
      <c r="S1056" s="163"/>
      <c r="T1056" s="162"/>
    </row>
    <row r="1057" spans="3:20" ht="20.25" customHeight="1">
      <c r="C1057" s="109"/>
      <c r="D1057" s="115">
        <f t="shared" si="438"/>
        <v>1057</v>
      </c>
      <c r="E1057" s="119" t="s">
        <v>434</v>
      </c>
      <c r="F1057" s="121">
        <f t="shared" ref="F1057" si="465">D1056</f>
        <v>1056</v>
      </c>
      <c r="G1057" s="118" t="s">
        <v>312</v>
      </c>
      <c r="H1057" s="118"/>
      <c r="I1057" s="117">
        <v>18</v>
      </c>
      <c r="J1057" s="121" t="str">
        <f>J1055</f>
        <v>831 mm</v>
      </c>
      <c r="K1057" s="131">
        <v>1</v>
      </c>
      <c r="L1057" s="154" t="s">
        <v>39</v>
      </c>
      <c r="M1057" s="132">
        <v>1</v>
      </c>
      <c r="N1057" s="145" t="s">
        <v>39</v>
      </c>
      <c r="O1057" s="133">
        <v>1</v>
      </c>
      <c r="P1057" s="117" t="s">
        <v>435</v>
      </c>
      <c r="Q1057" s="163">
        <f t="shared" ref="Q1057" si="466">M1057*O1057</f>
        <v>1</v>
      </c>
      <c r="R1057" s="161"/>
      <c r="S1057" s="163">
        <f t="shared" ref="S1057" si="467">Q1057+R1057</f>
        <v>1</v>
      </c>
      <c r="T1057" s="165" t="s">
        <v>41</v>
      </c>
    </row>
    <row r="1058" spans="3:20" ht="20.25" customHeight="1">
      <c r="C1058" s="109">
        <f>D1058</f>
        <v>1058</v>
      </c>
      <c r="D1058" s="115">
        <f t="shared" si="438"/>
        <v>1058</v>
      </c>
      <c r="E1058" s="116" t="s">
        <v>436</v>
      </c>
      <c r="F1058" s="121">
        <f>D1056</f>
        <v>1056</v>
      </c>
      <c r="G1058" s="118"/>
      <c r="H1058" s="118"/>
      <c r="I1058" s="117"/>
      <c r="J1058" s="117"/>
      <c r="K1058" s="131"/>
      <c r="L1058" s="131"/>
      <c r="M1058" s="132"/>
      <c r="N1058" s="117"/>
      <c r="O1058" s="133"/>
      <c r="P1058" s="117"/>
      <c r="Q1058" s="163"/>
      <c r="R1058" s="161"/>
      <c r="S1058" s="163"/>
      <c r="T1058" s="162"/>
    </row>
    <row r="1059" spans="3:20" ht="20.25" customHeight="1">
      <c r="C1059" s="109"/>
      <c r="D1059" s="115">
        <f t="shared" si="438"/>
        <v>1059</v>
      </c>
      <c r="E1059" s="119" t="s">
        <v>437</v>
      </c>
      <c r="F1059" s="121">
        <f t="shared" ref="F1059:F1061" si="468">D1058</f>
        <v>1058</v>
      </c>
      <c r="G1059" s="118" t="s">
        <v>348</v>
      </c>
      <c r="H1059" s="118"/>
      <c r="I1059" s="121">
        <f>I1057</f>
        <v>18</v>
      </c>
      <c r="J1059" s="125" t="s">
        <v>317</v>
      </c>
      <c r="K1059" s="131">
        <v>1</v>
      </c>
      <c r="L1059" s="131" t="s">
        <v>81</v>
      </c>
      <c r="M1059" s="141">
        <f>LEFT(J1059,SEARCH(" ",J1059,1)-1)*K1059*3.142*0.001*2</f>
        <v>9.8030399999999993</v>
      </c>
      <c r="N1059" s="117" t="s">
        <v>139</v>
      </c>
      <c r="O1059" s="175">
        <f>VLOOKUP(I1059,BM!$A$2:$X$104,13,FALSE)</f>
        <v>0.45</v>
      </c>
      <c r="P1059" s="117" t="s">
        <v>112</v>
      </c>
      <c r="Q1059" s="163">
        <f t="shared" ref="Q1059:Q1061" si="469">M1059*O1059</f>
        <v>4.4113679999999995</v>
      </c>
      <c r="R1059" s="161">
        <v>1</v>
      </c>
      <c r="S1059" s="163">
        <f t="shared" ref="S1059:S1061" si="470">Q1059+R1059</f>
        <v>5.4113679999999995</v>
      </c>
      <c r="T1059" s="165" t="s">
        <v>162</v>
      </c>
    </row>
    <row r="1060" spans="3:20" ht="20.25" customHeight="1">
      <c r="C1060" s="109"/>
      <c r="D1060" s="115">
        <f t="shared" si="438"/>
        <v>1060</v>
      </c>
      <c r="E1060" s="119" t="s">
        <v>438</v>
      </c>
      <c r="F1060" s="121">
        <f t="shared" si="468"/>
        <v>1059</v>
      </c>
      <c r="G1060" s="118" t="s">
        <v>111</v>
      </c>
      <c r="H1060" s="118"/>
      <c r="I1060" s="117">
        <v>18</v>
      </c>
      <c r="J1060" s="117" t="str">
        <f>J1059</f>
        <v>1560 mm id</v>
      </c>
      <c r="K1060" s="131">
        <v>1</v>
      </c>
      <c r="L1060" s="131" t="s">
        <v>81</v>
      </c>
      <c r="M1060" s="141">
        <f>LEFT(J1060,SEARCH(" ",J1060,1)-1)*K1060*3.142*0.001</f>
        <v>4.9015199999999997</v>
      </c>
      <c r="N1060" s="117" t="s">
        <v>139</v>
      </c>
      <c r="O1060" s="175">
        <f>VLOOKUP(I1060,BM!$A$2:$X$104,16,FALSE)</f>
        <v>1</v>
      </c>
      <c r="P1060" s="117" t="s">
        <v>112</v>
      </c>
      <c r="Q1060" s="163">
        <f t="shared" si="469"/>
        <v>4.9015199999999997</v>
      </c>
      <c r="R1060" s="161">
        <v>1</v>
      </c>
      <c r="S1060" s="163">
        <f t="shared" si="470"/>
        <v>5.9015199999999997</v>
      </c>
      <c r="T1060" s="165" t="s">
        <v>162</v>
      </c>
    </row>
    <row r="1061" spans="3:20" ht="20.25" customHeight="1">
      <c r="C1061" s="109"/>
      <c r="D1061" s="115">
        <f t="shared" si="438"/>
        <v>1061</v>
      </c>
      <c r="E1061" s="119" t="s">
        <v>439</v>
      </c>
      <c r="F1061" s="121">
        <f t="shared" si="468"/>
        <v>1060</v>
      </c>
      <c r="G1061" s="118" t="s">
        <v>44</v>
      </c>
      <c r="H1061" s="118"/>
      <c r="I1061" s="117">
        <v>18</v>
      </c>
      <c r="J1061" s="117" t="str">
        <f>J1060</f>
        <v>1560 mm id</v>
      </c>
      <c r="K1061" s="131">
        <v>1</v>
      </c>
      <c r="L1061" s="131" t="s">
        <v>81</v>
      </c>
      <c r="M1061" s="132">
        <v>1</v>
      </c>
      <c r="N1061" s="117" t="s">
        <v>139</v>
      </c>
      <c r="O1061" s="133">
        <v>4</v>
      </c>
      <c r="P1061" s="117" t="s">
        <v>112</v>
      </c>
      <c r="Q1061" s="163">
        <f t="shared" si="469"/>
        <v>4</v>
      </c>
      <c r="R1061" s="161">
        <v>1</v>
      </c>
      <c r="S1061" s="163">
        <f t="shared" si="470"/>
        <v>5</v>
      </c>
      <c r="T1061" s="165" t="s">
        <v>162</v>
      </c>
    </row>
    <row r="1062" spans="3:20" ht="20.25" customHeight="1">
      <c r="C1062" s="109">
        <f>D1062</f>
        <v>1062</v>
      </c>
      <c r="D1062" s="115">
        <f t="shared" si="438"/>
        <v>1062</v>
      </c>
      <c r="E1062" s="116" t="s">
        <v>440</v>
      </c>
      <c r="F1062" s="121">
        <f>D1058</f>
        <v>1058</v>
      </c>
      <c r="G1062" s="118"/>
      <c r="H1062" s="118"/>
      <c r="I1062" s="117"/>
      <c r="J1062" s="117"/>
      <c r="K1062" s="131"/>
      <c r="L1062" s="131"/>
      <c r="M1062" s="132"/>
      <c r="N1062" s="117"/>
      <c r="O1062" s="133"/>
      <c r="P1062" s="117"/>
      <c r="Q1062" s="163"/>
      <c r="R1062" s="161"/>
      <c r="S1062" s="163"/>
      <c r="T1062" s="162"/>
    </row>
    <row r="1063" spans="3:20" ht="20.25" customHeight="1">
      <c r="C1063" s="109"/>
      <c r="D1063" s="115">
        <f t="shared" si="438"/>
        <v>1063</v>
      </c>
      <c r="E1063" s="119" t="s">
        <v>441</v>
      </c>
      <c r="F1063" s="121">
        <f t="shared" ref="F1063:F1067" si="471">D1062</f>
        <v>1062</v>
      </c>
      <c r="G1063" s="118" t="s">
        <v>201</v>
      </c>
      <c r="H1063" s="118"/>
      <c r="I1063" s="117">
        <v>18</v>
      </c>
      <c r="J1063" s="117" t="str">
        <f>J1061</f>
        <v>1560 mm id</v>
      </c>
      <c r="K1063" s="131">
        <v>1</v>
      </c>
      <c r="L1063" s="131" t="s">
        <v>81</v>
      </c>
      <c r="M1063" s="132">
        <v>1</v>
      </c>
      <c r="N1063" s="145" t="s">
        <v>39</v>
      </c>
      <c r="O1063" s="133">
        <v>1</v>
      </c>
      <c r="P1063" s="117" t="s">
        <v>112</v>
      </c>
      <c r="Q1063" s="163">
        <f t="shared" ref="Q1063:Q1067" si="472">M1063*O1063</f>
        <v>1</v>
      </c>
      <c r="R1063" s="161">
        <v>1</v>
      </c>
      <c r="S1063" s="163">
        <f t="shared" ref="S1063:S1067" si="473">Q1063+R1063</f>
        <v>2</v>
      </c>
      <c r="T1063" s="165" t="s">
        <v>162</v>
      </c>
    </row>
    <row r="1064" spans="3:20" ht="20.25" customHeight="1">
      <c r="C1064" s="109"/>
      <c r="D1064" s="115">
        <f t="shared" si="438"/>
        <v>1064</v>
      </c>
      <c r="E1064" s="119" t="s">
        <v>442</v>
      </c>
      <c r="F1064" s="121">
        <f t="shared" si="471"/>
        <v>1063</v>
      </c>
      <c r="G1064" s="118" t="s">
        <v>115</v>
      </c>
      <c r="H1064" s="118"/>
      <c r="I1064" s="117">
        <v>12</v>
      </c>
      <c r="J1064" s="117" t="str">
        <f>J1063</f>
        <v>1560 mm id</v>
      </c>
      <c r="K1064" s="131">
        <v>1</v>
      </c>
      <c r="L1064" s="131" t="s">
        <v>81</v>
      </c>
      <c r="M1064" s="141">
        <f t="shared" ref="M1064:M1067" si="474">LEFT(J1064,SEARCH(" ",J1064,1)-1)*K1064*3.142*0.001</f>
        <v>4.9015199999999997</v>
      </c>
      <c r="N1064" s="117" t="s">
        <v>249</v>
      </c>
      <c r="O1064" s="175">
        <f>VLOOKUP(I1064,BM!$A$2:$X$104,17,FALSE)</f>
        <v>2.5</v>
      </c>
      <c r="P1064" s="117" t="s">
        <v>112</v>
      </c>
      <c r="Q1064" s="163">
        <f t="shared" si="472"/>
        <v>12.253799999999998</v>
      </c>
      <c r="R1064" s="161">
        <v>1</v>
      </c>
      <c r="S1064" s="163">
        <f t="shared" si="473"/>
        <v>13.253799999999998</v>
      </c>
      <c r="T1064" s="165" t="s">
        <v>112</v>
      </c>
    </row>
    <row r="1065" spans="3:20" ht="20.25" customHeight="1">
      <c r="C1065" s="109"/>
      <c r="D1065" s="115">
        <f t="shared" si="438"/>
        <v>1065</v>
      </c>
      <c r="E1065" s="119" t="s">
        <v>443</v>
      </c>
      <c r="F1065" s="121">
        <f t="shared" si="471"/>
        <v>1064</v>
      </c>
      <c r="G1065" s="118" t="s">
        <v>61</v>
      </c>
      <c r="H1065" s="118"/>
      <c r="I1065" s="117">
        <v>18</v>
      </c>
      <c r="J1065" s="117" t="str">
        <f>J1064</f>
        <v>1560 mm id</v>
      </c>
      <c r="K1065" s="131">
        <v>1</v>
      </c>
      <c r="L1065" s="131" t="s">
        <v>81</v>
      </c>
      <c r="M1065" s="141">
        <f t="shared" si="474"/>
        <v>4.9015199999999997</v>
      </c>
      <c r="N1065" s="117" t="s">
        <v>249</v>
      </c>
      <c r="O1065" s="175">
        <f>VLOOKUP(I1065,BM!$A$2:$X$104,18,FALSE)</f>
        <v>1</v>
      </c>
      <c r="P1065" s="117" t="s">
        <v>112</v>
      </c>
      <c r="Q1065" s="163">
        <f t="shared" si="472"/>
        <v>4.9015199999999997</v>
      </c>
      <c r="R1065" s="161">
        <v>1</v>
      </c>
      <c r="S1065" s="163">
        <f t="shared" si="473"/>
        <v>5.9015199999999997</v>
      </c>
      <c r="T1065" s="165" t="s">
        <v>112</v>
      </c>
    </row>
    <row r="1066" spans="3:20" ht="20.25" customHeight="1">
      <c r="C1066" s="109"/>
      <c r="D1066" s="115">
        <f t="shared" si="438"/>
        <v>1066</v>
      </c>
      <c r="E1066" s="119" t="s">
        <v>444</v>
      </c>
      <c r="F1066" s="121">
        <f t="shared" si="471"/>
        <v>1065</v>
      </c>
      <c r="G1066" s="118" t="s">
        <v>115</v>
      </c>
      <c r="H1066" s="118"/>
      <c r="I1066" s="117">
        <v>8</v>
      </c>
      <c r="J1066" s="117" t="str">
        <f>J1065</f>
        <v>1560 mm id</v>
      </c>
      <c r="K1066" s="131">
        <v>1</v>
      </c>
      <c r="L1066" s="131" t="s">
        <v>81</v>
      </c>
      <c r="M1066" s="141">
        <f t="shared" si="474"/>
        <v>4.9015199999999997</v>
      </c>
      <c r="N1066" s="117" t="s">
        <v>249</v>
      </c>
      <c r="O1066" s="175">
        <f>VLOOKUP(I1066,BM!$A$2:$X$104,17,FALSE)</f>
        <v>1.36</v>
      </c>
      <c r="P1066" s="117" t="s">
        <v>112</v>
      </c>
      <c r="Q1066" s="163">
        <f t="shared" si="472"/>
        <v>6.6660671999999996</v>
      </c>
      <c r="R1066" s="161">
        <v>1</v>
      </c>
      <c r="S1066" s="163">
        <f t="shared" si="473"/>
        <v>7.6660671999999996</v>
      </c>
      <c r="T1066" s="165" t="s">
        <v>112</v>
      </c>
    </row>
    <row r="1067" spans="3:20" ht="20.25" customHeight="1">
      <c r="C1067" s="109"/>
      <c r="D1067" s="115">
        <f t="shared" si="438"/>
        <v>1067</v>
      </c>
      <c r="E1067" s="119" t="s">
        <v>445</v>
      </c>
      <c r="F1067" s="121">
        <f t="shared" si="471"/>
        <v>1066</v>
      </c>
      <c r="G1067" s="118" t="s">
        <v>61</v>
      </c>
      <c r="H1067" s="118"/>
      <c r="I1067" s="117">
        <v>18</v>
      </c>
      <c r="J1067" s="117" t="str">
        <f>J1066</f>
        <v>1560 mm id</v>
      </c>
      <c r="K1067" s="131">
        <v>1</v>
      </c>
      <c r="L1067" s="131" t="s">
        <v>81</v>
      </c>
      <c r="M1067" s="141">
        <f t="shared" si="474"/>
        <v>4.9015199999999997</v>
      </c>
      <c r="N1067" s="117" t="s">
        <v>249</v>
      </c>
      <c r="O1067" s="175">
        <f>VLOOKUP(I1067,BM!$A$2:$X$104,20,FALSE)</f>
        <v>0.5</v>
      </c>
      <c r="P1067" s="117" t="s">
        <v>112</v>
      </c>
      <c r="Q1067" s="163">
        <f t="shared" si="472"/>
        <v>2.4507599999999998</v>
      </c>
      <c r="R1067" s="161">
        <v>1</v>
      </c>
      <c r="S1067" s="163">
        <f t="shared" si="473"/>
        <v>3.4507599999999998</v>
      </c>
      <c r="T1067" s="165" t="s">
        <v>112</v>
      </c>
    </row>
    <row r="1068" spans="3:20" ht="20.25" customHeight="1">
      <c r="C1068" s="109">
        <f>D1068</f>
        <v>1068</v>
      </c>
      <c r="D1068" s="115">
        <f t="shared" si="438"/>
        <v>1068</v>
      </c>
      <c r="E1068" s="116" t="s">
        <v>446</v>
      </c>
      <c r="F1068" s="121">
        <f>D1062</f>
        <v>1062</v>
      </c>
      <c r="G1068" s="118"/>
      <c r="H1068" s="118"/>
      <c r="I1068" s="117"/>
      <c r="J1068" s="117"/>
      <c r="K1068" s="131"/>
      <c r="L1068" s="131"/>
      <c r="M1068" s="132"/>
      <c r="N1068" s="117"/>
      <c r="O1068" s="133"/>
      <c r="P1068" s="117"/>
      <c r="Q1068" s="163"/>
      <c r="R1068" s="161"/>
      <c r="S1068" s="163"/>
      <c r="T1068" s="162"/>
    </row>
    <row r="1069" spans="3:20" ht="20.25" customHeight="1">
      <c r="C1069" s="109"/>
      <c r="D1069" s="115">
        <f t="shared" si="438"/>
        <v>1069</v>
      </c>
      <c r="E1069" s="119" t="s">
        <v>447</v>
      </c>
      <c r="F1069" s="121">
        <f t="shared" ref="F1069:F1072" si="475">D1068</f>
        <v>1068</v>
      </c>
      <c r="G1069" s="118" t="s">
        <v>52</v>
      </c>
      <c r="H1069" s="118"/>
      <c r="I1069" s="117">
        <f>I1063</f>
        <v>18</v>
      </c>
      <c r="J1069" s="117" t="str">
        <f>J1067</f>
        <v>1560 mm id</v>
      </c>
      <c r="K1069" s="131">
        <v>1</v>
      </c>
      <c r="L1069" s="131" t="s">
        <v>81</v>
      </c>
      <c r="M1069" s="141">
        <f t="shared" ref="M1069:M1072" si="476">LEFT(J1069,SEARCH(" ",J1069,1)-1)*K1069*3.142*0.001</f>
        <v>4.9015199999999997</v>
      </c>
      <c r="N1069" s="117" t="s">
        <v>139</v>
      </c>
      <c r="O1069" s="175">
        <f>VLOOKUP(I1069,BM!$A$2:$X$104,14,FALSE)</f>
        <v>0.5</v>
      </c>
      <c r="P1069" s="117" t="s">
        <v>112</v>
      </c>
      <c r="Q1069" s="163">
        <f t="shared" ref="Q1069:Q1072" si="477">M1069*O1069</f>
        <v>2.4507599999999998</v>
      </c>
      <c r="R1069" s="161">
        <v>1</v>
      </c>
      <c r="S1069" s="163">
        <f t="shared" ref="S1069:S1072" si="478">Q1069+R1069</f>
        <v>3.4507599999999998</v>
      </c>
      <c r="T1069" s="165" t="s">
        <v>112</v>
      </c>
    </row>
    <row r="1070" spans="3:20" ht="20.25" customHeight="1">
      <c r="C1070" s="109"/>
      <c r="D1070" s="115">
        <f t="shared" si="438"/>
        <v>1070</v>
      </c>
      <c r="E1070" s="119" t="s">
        <v>437</v>
      </c>
      <c r="F1070" s="121">
        <f t="shared" si="475"/>
        <v>1069</v>
      </c>
      <c r="G1070" s="118" t="s">
        <v>44</v>
      </c>
      <c r="H1070" s="118"/>
      <c r="I1070" s="117">
        <f>I1064</f>
        <v>12</v>
      </c>
      <c r="J1070" s="117" t="str">
        <f>J1069</f>
        <v>1560 mm id</v>
      </c>
      <c r="K1070" s="131">
        <v>1</v>
      </c>
      <c r="L1070" s="131" t="s">
        <v>81</v>
      </c>
      <c r="M1070" s="141">
        <f t="shared" si="476"/>
        <v>4.9015199999999997</v>
      </c>
      <c r="N1070" s="117" t="s">
        <v>139</v>
      </c>
      <c r="O1070" s="175">
        <f>VLOOKUP(I1070,BM!$A$2:$X$104,15,FALSE)</f>
        <v>1</v>
      </c>
      <c r="P1070" s="117" t="s">
        <v>112</v>
      </c>
      <c r="Q1070" s="163">
        <f t="shared" si="477"/>
        <v>4.9015199999999997</v>
      </c>
      <c r="R1070" s="161">
        <v>1</v>
      </c>
      <c r="S1070" s="163">
        <f t="shared" si="478"/>
        <v>5.9015199999999997</v>
      </c>
      <c r="T1070" s="165" t="s">
        <v>112</v>
      </c>
    </row>
    <row r="1071" spans="3:20" ht="20.25" customHeight="1">
      <c r="C1071" s="109"/>
      <c r="D1071" s="115">
        <f t="shared" si="438"/>
        <v>1071</v>
      </c>
      <c r="E1071" s="119" t="s">
        <v>448</v>
      </c>
      <c r="F1071" s="121">
        <f t="shared" si="475"/>
        <v>1070</v>
      </c>
      <c r="G1071" s="118" t="s">
        <v>111</v>
      </c>
      <c r="H1071" s="118"/>
      <c r="I1071" s="117">
        <f>I1066</f>
        <v>8</v>
      </c>
      <c r="J1071" s="117" t="str">
        <f>J1070</f>
        <v>1560 mm id</v>
      </c>
      <c r="K1071" s="131">
        <v>1</v>
      </c>
      <c r="L1071" s="131" t="s">
        <v>81</v>
      </c>
      <c r="M1071" s="141">
        <f t="shared" si="476"/>
        <v>4.9015199999999997</v>
      </c>
      <c r="N1071" s="117" t="s">
        <v>139</v>
      </c>
      <c r="O1071" s="133">
        <v>4</v>
      </c>
      <c r="P1071" s="117" t="s">
        <v>112</v>
      </c>
      <c r="Q1071" s="163">
        <f t="shared" si="477"/>
        <v>19.606079999999999</v>
      </c>
      <c r="R1071" s="161">
        <v>1</v>
      </c>
      <c r="S1071" s="163">
        <f t="shared" si="478"/>
        <v>20.606079999999999</v>
      </c>
      <c r="T1071" s="165" t="s">
        <v>112</v>
      </c>
    </row>
    <row r="1072" spans="3:20" ht="20.25" customHeight="1">
      <c r="C1072" s="109"/>
      <c r="D1072" s="115">
        <f t="shared" si="438"/>
        <v>1072</v>
      </c>
      <c r="E1072" s="119" t="s">
        <v>439</v>
      </c>
      <c r="F1072" s="121">
        <f t="shared" si="475"/>
        <v>1071</v>
      </c>
      <c r="G1072" s="118" t="s">
        <v>63</v>
      </c>
      <c r="H1072" s="118"/>
      <c r="I1072" s="117">
        <v>18</v>
      </c>
      <c r="J1072" s="117" t="str">
        <f>J1071</f>
        <v>1560 mm id</v>
      </c>
      <c r="K1072" s="131">
        <v>1</v>
      </c>
      <c r="L1072" s="131" t="s">
        <v>81</v>
      </c>
      <c r="M1072" s="141">
        <f t="shared" si="476"/>
        <v>4.9015199999999997</v>
      </c>
      <c r="N1072" s="117" t="s">
        <v>139</v>
      </c>
      <c r="O1072" s="133">
        <v>0.5</v>
      </c>
      <c r="P1072" s="117" t="s">
        <v>112</v>
      </c>
      <c r="Q1072" s="163">
        <f t="shared" si="477"/>
        <v>2.4507599999999998</v>
      </c>
      <c r="R1072" s="161">
        <v>1</v>
      </c>
      <c r="S1072" s="163">
        <f t="shared" si="478"/>
        <v>3.4507599999999998</v>
      </c>
      <c r="T1072" s="165" t="s">
        <v>112</v>
      </c>
    </row>
    <row r="1073" spans="3:20" ht="20.25" customHeight="1">
      <c r="C1073" s="109">
        <f>D1073</f>
        <v>1073</v>
      </c>
      <c r="D1073" s="115">
        <f t="shared" si="438"/>
        <v>1073</v>
      </c>
      <c r="E1073" s="116" t="s">
        <v>449</v>
      </c>
      <c r="F1073" s="121">
        <f>D1068</f>
        <v>1068</v>
      </c>
      <c r="G1073" s="117"/>
      <c r="H1073" s="117"/>
      <c r="I1073" s="117"/>
      <c r="J1073" s="117"/>
      <c r="K1073" s="131"/>
      <c r="L1073" s="131"/>
      <c r="M1073" s="132"/>
      <c r="N1073" s="117"/>
      <c r="O1073" s="133"/>
      <c r="P1073" s="117"/>
      <c r="Q1073" s="163"/>
      <c r="R1073" s="161"/>
      <c r="S1073" s="163"/>
      <c r="T1073" s="162"/>
    </row>
    <row r="1074" spans="3:20" ht="20.25" customHeight="1">
      <c r="C1074" s="109"/>
      <c r="D1074" s="115">
        <f t="shared" si="438"/>
        <v>1074</v>
      </c>
      <c r="E1074" s="119" t="s">
        <v>450</v>
      </c>
      <c r="F1074" s="121">
        <f t="shared" ref="F1074:F1078" si="479">D1073</f>
        <v>1073</v>
      </c>
      <c r="G1074" s="118" t="s">
        <v>201</v>
      </c>
      <c r="H1074" s="118"/>
      <c r="I1074" s="117">
        <v>12</v>
      </c>
      <c r="J1074" s="117" t="str">
        <f>J1072</f>
        <v>1560 mm id</v>
      </c>
      <c r="K1074" s="131">
        <v>1</v>
      </c>
      <c r="L1074" s="131" t="s">
        <v>81</v>
      </c>
      <c r="M1074" s="132">
        <v>1</v>
      </c>
      <c r="N1074" s="117" t="s">
        <v>249</v>
      </c>
      <c r="O1074" s="133">
        <v>1</v>
      </c>
      <c r="P1074" s="117" t="s">
        <v>112</v>
      </c>
      <c r="Q1074" s="163">
        <f t="shared" ref="Q1074:Q1078" si="480">M1074*O1074</f>
        <v>1</v>
      </c>
      <c r="R1074" s="161">
        <v>1</v>
      </c>
      <c r="S1074" s="163">
        <f t="shared" ref="S1074:S1078" si="481">Q1074+R1074</f>
        <v>2</v>
      </c>
      <c r="T1074" s="165" t="s">
        <v>112</v>
      </c>
    </row>
    <row r="1075" spans="3:20" ht="20.25" customHeight="1">
      <c r="C1075" s="109"/>
      <c r="D1075" s="115">
        <f t="shared" si="438"/>
        <v>1075</v>
      </c>
      <c r="E1075" s="119" t="s">
        <v>451</v>
      </c>
      <c r="F1075" s="121">
        <f t="shared" si="479"/>
        <v>1074</v>
      </c>
      <c r="G1075" s="118" t="s">
        <v>115</v>
      </c>
      <c r="H1075" s="118"/>
      <c r="I1075" s="117">
        <v>12</v>
      </c>
      <c r="J1075" s="117" t="str">
        <f>J1074</f>
        <v>1560 mm id</v>
      </c>
      <c r="K1075" s="131">
        <v>1</v>
      </c>
      <c r="L1075" s="131" t="s">
        <v>81</v>
      </c>
      <c r="M1075" s="141">
        <f t="shared" ref="M1075:M1078" si="482">LEFT(J1075,SEARCH(" ",J1075,1)-1)*K1075*3.142*0.001</f>
        <v>4.9015199999999997</v>
      </c>
      <c r="N1075" s="117" t="s">
        <v>249</v>
      </c>
      <c r="O1075" s="175">
        <f>VLOOKUP(I1075,BM!$A$2:$X$104,17,FALSE)</f>
        <v>2.5</v>
      </c>
      <c r="P1075" s="117" t="s">
        <v>112</v>
      </c>
      <c r="Q1075" s="163">
        <f t="shared" si="480"/>
        <v>12.253799999999998</v>
      </c>
      <c r="R1075" s="161">
        <v>1</v>
      </c>
      <c r="S1075" s="163">
        <f t="shared" si="481"/>
        <v>13.253799999999998</v>
      </c>
      <c r="T1075" s="165" t="s">
        <v>112</v>
      </c>
    </row>
    <row r="1076" spans="3:20" ht="20.25" customHeight="1">
      <c r="C1076" s="109"/>
      <c r="D1076" s="115">
        <f t="shared" si="438"/>
        <v>1076</v>
      </c>
      <c r="E1076" s="119" t="s">
        <v>452</v>
      </c>
      <c r="F1076" s="121">
        <f t="shared" si="479"/>
        <v>1075</v>
      </c>
      <c r="G1076" s="118" t="s">
        <v>61</v>
      </c>
      <c r="H1076" s="118"/>
      <c r="I1076" s="117">
        <v>18</v>
      </c>
      <c r="J1076" s="117" t="str">
        <f>J1075</f>
        <v>1560 mm id</v>
      </c>
      <c r="K1076" s="131">
        <v>1</v>
      </c>
      <c r="L1076" s="131" t="s">
        <v>81</v>
      </c>
      <c r="M1076" s="141">
        <f t="shared" si="482"/>
        <v>4.9015199999999997</v>
      </c>
      <c r="N1076" s="117" t="s">
        <v>249</v>
      </c>
      <c r="O1076" s="175">
        <f>VLOOKUP(I1076,BM!$A$2:$X$104,18,FALSE)</f>
        <v>1</v>
      </c>
      <c r="P1076" s="117" t="s">
        <v>112</v>
      </c>
      <c r="Q1076" s="163">
        <f t="shared" si="480"/>
        <v>4.9015199999999997</v>
      </c>
      <c r="R1076" s="161">
        <v>1</v>
      </c>
      <c r="S1076" s="163">
        <f t="shared" si="481"/>
        <v>5.9015199999999997</v>
      </c>
      <c r="T1076" s="165" t="s">
        <v>112</v>
      </c>
    </row>
    <row r="1077" spans="3:20" ht="20.25" customHeight="1">
      <c r="C1077" s="109"/>
      <c r="D1077" s="115">
        <f t="shared" si="438"/>
        <v>1077</v>
      </c>
      <c r="E1077" s="119" t="s">
        <v>453</v>
      </c>
      <c r="F1077" s="121">
        <f t="shared" si="479"/>
        <v>1076</v>
      </c>
      <c r="G1077" s="118" t="s">
        <v>115</v>
      </c>
      <c r="H1077" s="118"/>
      <c r="I1077" s="117">
        <v>6</v>
      </c>
      <c r="J1077" s="117" t="str">
        <f>J1076</f>
        <v>1560 mm id</v>
      </c>
      <c r="K1077" s="131">
        <v>1</v>
      </c>
      <c r="L1077" s="131" t="s">
        <v>81</v>
      </c>
      <c r="M1077" s="141">
        <f t="shared" si="482"/>
        <v>4.9015199999999997</v>
      </c>
      <c r="N1077" s="117" t="s">
        <v>249</v>
      </c>
      <c r="O1077" s="175">
        <f>VLOOKUP(I1077,BM!$A$2:$X$104,17,FALSE)</f>
        <v>0.9</v>
      </c>
      <c r="P1077" s="117" t="s">
        <v>112</v>
      </c>
      <c r="Q1077" s="163">
        <f t="shared" si="480"/>
        <v>4.4113679999999995</v>
      </c>
      <c r="R1077" s="161">
        <v>1</v>
      </c>
      <c r="S1077" s="163">
        <f t="shared" si="481"/>
        <v>5.4113679999999995</v>
      </c>
      <c r="T1077" s="165" t="s">
        <v>112</v>
      </c>
    </row>
    <row r="1078" spans="3:20" ht="20.25" customHeight="1">
      <c r="C1078" s="109"/>
      <c r="D1078" s="115">
        <f t="shared" si="438"/>
        <v>1078</v>
      </c>
      <c r="E1078" s="119" t="s">
        <v>454</v>
      </c>
      <c r="F1078" s="121">
        <f t="shared" si="479"/>
        <v>1077</v>
      </c>
      <c r="G1078" s="118" t="s">
        <v>61</v>
      </c>
      <c r="H1078" s="118"/>
      <c r="I1078" s="117">
        <v>18</v>
      </c>
      <c r="J1078" s="117" t="str">
        <f>J1077</f>
        <v>1560 mm id</v>
      </c>
      <c r="K1078" s="131">
        <v>1</v>
      </c>
      <c r="L1078" s="131" t="s">
        <v>81</v>
      </c>
      <c r="M1078" s="141">
        <f t="shared" si="482"/>
        <v>4.9015199999999997</v>
      </c>
      <c r="N1078" s="117" t="s">
        <v>249</v>
      </c>
      <c r="O1078" s="175">
        <f>VLOOKUP(I1078,BM!$A$2:$X$104,20,FALSE)</f>
        <v>0.5</v>
      </c>
      <c r="P1078" s="117" t="s">
        <v>112</v>
      </c>
      <c r="Q1078" s="163">
        <f t="shared" si="480"/>
        <v>2.4507599999999998</v>
      </c>
      <c r="R1078" s="161">
        <v>1</v>
      </c>
      <c r="S1078" s="163">
        <f t="shared" si="481"/>
        <v>3.4507599999999998</v>
      </c>
      <c r="T1078" s="165" t="s">
        <v>112</v>
      </c>
    </row>
    <row r="1079" spans="3:20" ht="20.25" customHeight="1">
      <c r="C1079" s="109">
        <f>D1079</f>
        <v>1079</v>
      </c>
      <c r="D1079" s="115">
        <f t="shared" si="438"/>
        <v>1079</v>
      </c>
      <c r="E1079" s="116" t="s">
        <v>455</v>
      </c>
      <c r="F1079" s="121">
        <f>D1073</f>
        <v>1073</v>
      </c>
      <c r="G1079" s="118"/>
      <c r="H1079" s="118"/>
      <c r="I1079" s="117"/>
      <c r="J1079" s="117"/>
      <c r="K1079" s="131"/>
      <c r="L1079" s="131"/>
      <c r="M1079" s="132"/>
      <c r="N1079" s="117"/>
      <c r="O1079" s="133"/>
      <c r="P1079" s="117"/>
      <c r="Q1079" s="163"/>
      <c r="R1079" s="161"/>
      <c r="S1079" s="163"/>
      <c r="T1079" s="162"/>
    </row>
    <row r="1080" spans="3:20" ht="20.25" customHeight="1">
      <c r="C1080" s="109"/>
      <c r="D1080" s="115">
        <f t="shared" si="438"/>
        <v>1080</v>
      </c>
      <c r="E1080" s="119" t="s">
        <v>456</v>
      </c>
      <c r="F1080" s="121">
        <f t="shared" ref="F1080" si="483">D1079</f>
        <v>1079</v>
      </c>
      <c r="G1080" s="118" t="s">
        <v>312</v>
      </c>
      <c r="H1080" s="118"/>
      <c r="I1080" s="117">
        <v>18</v>
      </c>
      <c r="J1080" s="117" t="str">
        <f>J1078</f>
        <v>1560 mm id</v>
      </c>
      <c r="K1080" s="131">
        <v>1</v>
      </c>
      <c r="L1080" s="131" t="s">
        <v>39</v>
      </c>
      <c r="M1080" s="132">
        <v>1</v>
      </c>
      <c r="N1080" s="117" t="s">
        <v>457</v>
      </c>
      <c r="O1080" s="133">
        <v>1</v>
      </c>
      <c r="P1080" s="117" t="s">
        <v>41</v>
      </c>
      <c r="Q1080" s="163">
        <f t="shared" ref="Q1080" si="484">M1080*O1080</f>
        <v>1</v>
      </c>
      <c r="R1080" s="161"/>
      <c r="S1080" s="163">
        <f t="shared" ref="S1080" si="485">Q1080+R1080</f>
        <v>1</v>
      </c>
      <c r="T1080" s="165" t="s">
        <v>41</v>
      </c>
    </row>
    <row r="1081" spans="3:20" ht="20.25" customHeight="1">
      <c r="C1081" s="109">
        <f>D1081</f>
        <v>1081</v>
      </c>
      <c r="D1081" s="115">
        <f t="shared" si="438"/>
        <v>1081</v>
      </c>
      <c r="E1081" s="116" t="s">
        <v>768</v>
      </c>
      <c r="F1081" s="121">
        <f>D1079</f>
        <v>1079</v>
      </c>
      <c r="G1081" s="118"/>
      <c r="H1081" s="118"/>
      <c r="I1081" s="117"/>
      <c r="J1081" s="117"/>
      <c r="K1081" s="131"/>
      <c r="L1081" s="131"/>
      <c r="M1081" s="132"/>
      <c r="N1081" s="117"/>
      <c r="O1081" s="133"/>
      <c r="P1081" s="117"/>
      <c r="Q1081" s="163"/>
      <c r="R1081" s="161"/>
      <c r="S1081" s="163"/>
      <c r="T1081" s="162"/>
    </row>
    <row r="1082" spans="3:20" ht="20.25" customHeight="1">
      <c r="C1082" s="109"/>
      <c r="D1082" s="115">
        <f t="shared" si="438"/>
        <v>1082</v>
      </c>
      <c r="E1082" s="119" t="s">
        <v>459</v>
      </c>
      <c r="F1082" s="121">
        <f t="shared" ref="F1082:F1083" si="486">D1081</f>
        <v>1081</v>
      </c>
      <c r="G1082" s="118" t="s">
        <v>44</v>
      </c>
      <c r="H1082" s="118"/>
      <c r="I1082" s="117">
        <v>18</v>
      </c>
      <c r="J1082" s="117" t="str">
        <f>J1080</f>
        <v>1560 mm id</v>
      </c>
      <c r="K1082" s="131">
        <v>1</v>
      </c>
      <c r="L1082" s="131" t="s">
        <v>81</v>
      </c>
      <c r="M1082" s="132">
        <v>1</v>
      </c>
      <c r="N1082" s="117" t="s">
        <v>81</v>
      </c>
      <c r="O1082" s="133">
        <v>4</v>
      </c>
      <c r="P1082" s="117" t="s">
        <v>112</v>
      </c>
      <c r="Q1082" s="163">
        <f t="shared" ref="Q1082:Q1083" si="487">M1082*O1082</f>
        <v>4</v>
      </c>
      <c r="R1082" s="161">
        <v>1</v>
      </c>
      <c r="S1082" s="163">
        <f t="shared" ref="S1082:S1083" si="488">Q1082+R1082</f>
        <v>5</v>
      </c>
      <c r="T1082" s="165" t="s">
        <v>48</v>
      </c>
    </row>
    <row r="1083" spans="3:20" ht="20.25" customHeight="1">
      <c r="C1083" s="109"/>
      <c r="D1083" s="115">
        <f t="shared" si="438"/>
        <v>1083</v>
      </c>
      <c r="E1083" s="119" t="s">
        <v>460</v>
      </c>
      <c r="F1083" s="121">
        <f t="shared" si="486"/>
        <v>1082</v>
      </c>
      <c r="G1083" s="118" t="s">
        <v>44</v>
      </c>
      <c r="H1083" s="118"/>
      <c r="I1083" s="117">
        <v>18</v>
      </c>
      <c r="J1083" s="117" t="str">
        <f>J1082</f>
        <v>1560 mm id</v>
      </c>
      <c r="K1083" s="131">
        <v>1</v>
      </c>
      <c r="L1083" s="131" t="s">
        <v>81</v>
      </c>
      <c r="M1083" s="132">
        <v>1</v>
      </c>
      <c r="N1083" s="117" t="s">
        <v>81</v>
      </c>
      <c r="O1083" s="133">
        <v>4</v>
      </c>
      <c r="P1083" s="117" t="s">
        <v>112</v>
      </c>
      <c r="Q1083" s="163">
        <f t="shared" si="487"/>
        <v>4</v>
      </c>
      <c r="R1083" s="161">
        <v>1</v>
      </c>
      <c r="S1083" s="163">
        <f t="shared" si="488"/>
        <v>5</v>
      </c>
      <c r="T1083" s="165" t="s">
        <v>48</v>
      </c>
    </row>
    <row r="1084" spans="3:20" ht="20.25" customHeight="1">
      <c r="C1084" s="109">
        <f>D1084</f>
        <v>1084</v>
      </c>
      <c r="D1084" s="115">
        <f t="shared" si="438"/>
        <v>1084</v>
      </c>
      <c r="E1084" s="116" t="s">
        <v>461</v>
      </c>
      <c r="F1084" s="121">
        <f>D1081</f>
        <v>1081</v>
      </c>
      <c r="G1084" s="118"/>
      <c r="H1084" s="118"/>
      <c r="I1084" s="117"/>
      <c r="J1084" s="117"/>
      <c r="K1084" s="131"/>
      <c r="L1084" s="131"/>
      <c r="M1084" s="132"/>
      <c r="N1084" s="117"/>
      <c r="O1084" s="133"/>
      <c r="P1084" s="117"/>
      <c r="Q1084" s="163"/>
      <c r="R1084" s="161"/>
      <c r="S1084" s="163"/>
      <c r="T1084" s="162"/>
    </row>
    <row r="1085" spans="3:20" ht="20.25" customHeight="1">
      <c r="C1085" s="109"/>
      <c r="D1085" s="115">
        <f t="shared" si="438"/>
        <v>1085</v>
      </c>
      <c r="E1085" s="119" t="s">
        <v>462</v>
      </c>
      <c r="F1085" s="121">
        <f t="shared" ref="F1085:F1086" si="489">D1084</f>
        <v>1084</v>
      </c>
      <c r="G1085" s="118" t="s">
        <v>52</v>
      </c>
      <c r="H1085" s="118"/>
      <c r="I1085" s="117"/>
      <c r="J1085" s="145" t="s">
        <v>463</v>
      </c>
      <c r="K1085" s="131">
        <v>1</v>
      </c>
      <c r="L1085" s="131" t="s">
        <v>39</v>
      </c>
      <c r="M1085" s="132">
        <v>1</v>
      </c>
      <c r="N1085" s="117"/>
      <c r="O1085" s="175">
        <f>VLOOKUP(J1085,BM!$A$2:$X$104,2,FALSE)</f>
        <v>2</v>
      </c>
      <c r="P1085" s="117" t="s">
        <v>112</v>
      </c>
      <c r="Q1085" s="163">
        <f t="shared" ref="Q1085:Q1086" si="490">M1085*O1085</f>
        <v>2</v>
      </c>
      <c r="R1085" s="161">
        <v>1</v>
      </c>
      <c r="S1085" s="163">
        <f t="shared" ref="S1085:S1086" si="491">Q1085+R1085</f>
        <v>3</v>
      </c>
      <c r="T1085" s="165" t="s">
        <v>48</v>
      </c>
    </row>
    <row r="1086" spans="3:20" ht="20.25" customHeight="1">
      <c r="C1086" s="109"/>
      <c r="D1086" s="115">
        <f t="shared" si="438"/>
        <v>1086</v>
      </c>
      <c r="E1086" s="119" t="s">
        <v>464</v>
      </c>
      <c r="F1086" s="121">
        <f t="shared" si="489"/>
        <v>1085</v>
      </c>
      <c r="G1086" s="118" t="s">
        <v>52</v>
      </c>
      <c r="H1086" s="118"/>
      <c r="I1086" s="117"/>
      <c r="J1086" s="145" t="s">
        <v>463</v>
      </c>
      <c r="K1086" s="131">
        <v>1</v>
      </c>
      <c r="L1086" s="131" t="s">
        <v>39</v>
      </c>
      <c r="M1086" s="132">
        <v>1</v>
      </c>
      <c r="N1086" s="117"/>
      <c r="O1086" s="175">
        <f>VLOOKUP(J1086,BM!$A$2:$X$104,2,FALSE)</f>
        <v>2</v>
      </c>
      <c r="P1086" s="117" t="s">
        <v>112</v>
      </c>
      <c r="Q1086" s="163">
        <f t="shared" si="490"/>
        <v>2</v>
      </c>
      <c r="R1086" s="161">
        <v>1</v>
      </c>
      <c r="S1086" s="163">
        <f t="shared" si="491"/>
        <v>3</v>
      </c>
      <c r="T1086" s="165" t="s">
        <v>48</v>
      </c>
    </row>
    <row r="1087" spans="3:20" ht="20.25" customHeight="1">
      <c r="C1087" s="109">
        <f>D1087</f>
        <v>1087</v>
      </c>
      <c r="D1087" s="115">
        <f t="shared" si="438"/>
        <v>1087</v>
      </c>
      <c r="E1087" s="116" t="s">
        <v>465</v>
      </c>
      <c r="F1087" s="121">
        <f>D1084</f>
        <v>1084</v>
      </c>
      <c r="G1087" s="118"/>
      <c r="H1087" s="118"/>
      <c r="I1087" s="117"/>
      <c r="J1087" s="117"/>
      <c r="K1087" s="131"/>
      <c r="L1087" s="131"/>
      <c r="M1087" s="132"/>
      <c r="N1087" s="117"/>
      <c r="O1087" s="133"/>
      <c r="P1087" s="117"/>
      <c r="Q1087" s="163"/>
      <c r="R1087" s="161"/>
      <c r="S1087" s="163"/>
      <c r="T1087" s="162"/>
    </row>
    <row r="1088" spans="3:20" ht="20.25" customHeight="1">
      <c r="C1088" s="109"/>
      <c r="D1088" s="115">
        <f t="shared" si="438"/>
        <v>1088</v>
      </c>
      <c r="E1088" s="119" t="s">
        <v>466</v>
      </c>
      <c r="F1088" s="121">
        <f t="shared" ref="F1088:F1089" si="492">D1087</f>
        <v>1087</v>
      </c>
      <c r="G1088" s="118" t="s">
        <v>121</v>
      </c>
      <c r="H1088" s="118"/>
      <c r="I1088" s="117"/>
      <c r="J1088" s="117" t="str">
        <f>J1086</f>
        <v>400nb</v>
      </c>
      <c r="K1088" s="131">
        <v>1</v>
      </c>
      <c r="L1088" s="131" t="s">
        <v>39</v>
      </c>
      <c r="M1088" s="132">
        <v>1</v>
      </c>
      <c r="N1088" s="117"/>
      <c r="O1088" s="175">
        <f>VLOOKUP(J1088,BM!$A$2:$X$104,4,FALSE)</f>
        <v>2.5538175999999999</v>
      </c>
      <c r="P1088" s="117" t="s">
        <v>112</v>
      </c>
      <c r="Q1088" s="163">
        <f t="shared" ref="Q1088:Q1089" si="493">M1088*O1088</f>
        <v>2.5538175999999999</v>
      </c>
      <c r="R1088" s="161">
        <v>1</v>
      </c>
      <c r="S1088" s="163">
        <f t="shared" ref="S1088:S1089" si="494">Q1088+R1088</f>
        <v>3.5538175999999999</v>
      </c>
      <c r="T1088" s="165" t="s">
        <v>48</v>
      </c>
    </row>
    <row r="1089" spans="3:20" ht="20.25" customHeight="1">
      <c r="C1089" s="109"/>
      <c r="D1089" s="115">
        <f t="shared" si="438"/>
        <v>1089</v>
      </c>
      <c r="E1089" s="119" t="s">
        <v>467</v>
      </c>
      <c r="F1089" s="121">
        <f t="shared" si="492"/>
        <v>1088</v>
      </c>
      <c r="G1089" s="118" t="s">
        <v>121</v>
      </c>
      <c r="H1089" s="118"/>
      <c r="I1089" s="117"/>
      <c r="J1089" s="117" t="str">
        <f>J1086</f>
        <v>400nb</v>
      </c>
      <c r="K1089" s="131">
        <v>1</v>
      </c>
      <c r="L1089" s="131" t="s">
        <v>39</v>
      </c>
      <c r="M1089" s="132">
        <v>1</v>
      </c>
      <c r="N1089" s="117"/>
      <c r="O1089" s="175">
        <f>VLOOKUP(J1089,BM!$A$2:$X$104,4,FALSE)</f>
        <v>2.5538175999999999</v>
      </c>
      <c r="P1089" s="117" t="s">
        <v>112</v>
      </c>
      <c r="Q1089" s="163">
        <f t="shared" si="493"/>
        <v>2.5538175999999999</v>
      </c>
      <c r="R1089" s="161">
        <v>1</v>
      </c>
      <c r="S1089" s="163">
        <f t="shared" si="494"/>
        <v>3.5538175999999999</v>
      </c>
      <c r="T1089" s="165" t="s">
        <v>48</v>
      </c>
    </row>
    <row r="1090" spans="3:20" ht="20.25" customHeight="1">
      <c r="C1090" s="109">
        <f>D1090</f>
        <v>1090</v>
      </c>
      <c r="D1090" s="115">
        <f t="shared" si="438"/>
        <v>1090</v>
      </c>
      <c r="E1090" s="116" t="s">
        <v>468</v>
      </c>
      <c r="F1090" s="121">
        <f>D1087</f>
        <v>1087</v>
      </c>
      <c r="G1090" s="118"/>
      <c r="H1090" s="118"/>
      <c r="I1090" s="117"/>
      <c r="J1090" s="117"/>
      <c r="K1090" s="131"/>
      <c r="L1090" s="131"/>
      <c r="M1090" s="132"/>
      <c r="N1090" s="117"/>
      <c r="O1090" s="133"/>
      <c r="P1090" s="117"/>
      <c r="Q1090" s="163"/>
      <c r="R1090" s="161"/>
      <c r="S1090" s="163"/>
      <c r="T1090" s="162"/>
    </row>
    <row r="1091" spans="3:20" ht="20.25" customHeight="1">
      <c r="C1091" s="109"/>
      <c r="D1091" s="115">
        <f t="shared" si="438"/>
        <v>1091</v>
      </c>
      <c r="E1091" s="119" t="s">
        <v>469</v>
      </c>
      <c r="F1091" s="121">
        <f t="shared" ref="F1091:F1092" si="495">D1090</f>
        <v>1090</v>
      </c>
      <c r="G1091" s="118" t="s">
        <v>111</v>
      </c>
      <c r="H1091" s="118"/>
      <c r="I1091" s="117"/>
      <c r="J1091" s="145" t="s">
        <v>463</v>
      </c>
      <c r="K1091" s="131">
        <v>1</v>
      </c>
      <c r="L1091" s="131" t="s">
        <v>39</v>
      </c>
      <c r="M1091" s="132">
        <v>1</v>
      </c>
      <c r="N1091" s="145" t="s">
        <v>39</v>
      </c>
      <c r="O1091" s="175">
        <f>VLOOKUP(J1091,BM!$A$2:$X$104,5,FALSE)</f>
        <v>2</v>
      </c>
      <c r="P1091" s="117" t="s">
        <v>112</v>
      </c>
      <c r="Q1091" s="163">
        <f t="shared" ref="Q1091:Q1092" si="496">M1091*O1091</f>
        <v>2</v>
      </c>
      <c r="R1091" s="161">
        <v>1</v>
      </c>
      <c r="S1091" s="163">
        <f t="shared" ref="S1091:S1092" si="497">Q1091+R1091</f>
        <v>3</v>
      </c>
      <c r="T1091" s="165" t="s">
        <v>48</v>
      </c>
    </row>
    <row r="1092" spans="3:20" ht="20.25" customHeight="1">
      <c r="C1092" s="109"/>
      <c r="D1092" s="115">
        <f t="shared" ref="D1092:D1106" si="498">D1091+1</f>
        <v>1092</v>
      </c>
      <c r="E1092" s="119" t="s">
        <v>470</v>
      </c>
      <c r="F1092" s="121">
        <f t="shared" si="495"/>
        <v>1091</v>
      </c>
      <c r="G1092" s="118" t="s">
        <v>111</v>
      </c>
      <c r="H1092" s="118"/>
      <c r="I1092" s="117"/>
      <c r="J1092" s="145" t="s">
        <v>463</v>
      </c>
      <c r="K1092" s="131">
        <v>1</v>
      </c>
      <c r="L1092" s="131" t="s">
        <v>39</v>
      </c>
      <c r="M1092" s="132">
        <v>1</v>
      </c>
      <c r="N1092" s="145" t="s">
        <v>39</v>
      </c>
      <c r="O1092" s="175">
        <f>VLOOKUP(J1092,BM!$A$2:$X$104,5,FALSE)</f>
        <v>2</v>
      </c>
      <c r="P1092" s="117" t="s">
        <v>112</v>
      </c>
      <c r="Q1092" s="163">
        <f t="shared" si="496"/>
        <v>2</v>
      </c>
      <c r="R1092" s="161">
        <v>1</v>
      </c>
      <c r="S1092" s="163">
        <f t="shared" si="497"/>
        <v>3</v>
      </c>
      <c r="T1092" s="165" t="s">
        <v>48</v>
      </c>
    </row>
    <row r="1093" spans="3:20" ht="20.25" customHeight="1">
      <c r="C1093" s="109">
        <f>D1093</f>
        <v>1093</v>
      </c>
      <c r="D1093" s="115">
        <f t="shared" si="498"/>
        <v>1093</v>
      </c>
      <c r="E1093" s="116" t="s">
        <v>471</v>
      </c>
      <c r="F1093" s="121">
        <f>D1090</f>
        <v>1090</v>
      </c>
      <c r="G1093" s="118"/>
      <c r="H1093" s="118"/>
      <c r="I1093" s="117"/>
      <c r="J1093" s="117"/>
      <c r="K1093" s="131"/>
      <c r="L1093" s="131"/>
      <c r="M1093" s="132"/>
      <c r="N1093" s="117"/>
      <c r="O1093" s="133"/>
      <c r="P1093" s="117"/>
      <c r="Q1093" s="163"/>
      <c r="R1093" s="161"/>
      <c r="S1093" s="163"/>
      <c r="T1093" s="162"/>
    </row>
    <row r="1094" spans="3:20" ht="20.25" customHeight="1">
      <c r="C1094" s="109"/>
      <c r="D1094" s="115">
        <f t="shared" si="498"/>
        <v>1094</v>
      </c>
      <c r="E1094" s="119" t="s">
        <v>472</v>
      </c>
      <c r="F1094" s="121">
        <f t="shared" ref="F1094:F1095" si="499">D1093</f>
        <v>1093</v>
      </c>
      <c r="G1094" s="118" t="s">
        <v>44</v>
      </c>
      <c r="H1094" s="118"/>
      <c r="I1094" s="117"/>
      <c r="J1094" s="117" t="s">
        <v>463</v>
      </c>
      <c r="K1094" s="131">
        <v>1</v>
      </c>
      <c r="L1094" s="131" t="s">
        <v>39</v>
      </c>
      <c r="M1094" s="132">
        <v>1</v>
      </c>
      <c r="N1094" s="145" t="s">
        <v>39</v>
      </c>
      <c r="O1094" s="133">
        <v>1</v>
      </c>
      <c r="P1094" s="117" t="s">
        <v>112</v>
      </c>
      <c r="Q1094" s="163">
        <f t="shared" ref="Q1094:Q1095" si="500">M1094*O1094</f>
        <v>1</v>
      </c>
      <c r="R1094" s="161">
        <v>1</v>
      </c>
      <c r="S1094" s="163">
        <f t="shared" ref="S1094:S1095" si="501">Q1094+R1094</f>
        <v>2</v>
      </c>
      <c r="T1094" s="165" t="s">
        <v>48</v>
      </c>
    </row>
    <row r="1095" spans="3:20" ht="20.25" customHeight="1">
      <c r="C1095" s="109"/>
      <c r="D1095" s="115">
        <f t="shared" si="498"/>
        <v>1095</v>
      </c>
      <c r="E1095" s="119" t="s">
        <v>473</v>
      </c>
      <c r="F1095" s="121">
        <f t="shared" si="499"/>
        <v>1094</v>
      </c>
      <c r="G1095" s="118" t="s">
        <v>44</v>
      </c>
      <c r="H1095" s="118"/>
      <c r="I1095" s="117"/>
      <c r="J1095" s="117" t="s">
        <v>463</v>
      </c>
      <c r="K1095" s="131">
        <v>1</v>
      </c>
      <c r="L1095" s="131" t="s">
        <v>39</v>
      </c>
      <c r="M1095" s="132">
        <v>1</v>
      </c>
      <c r="N1095" s="145" t="s">
        <v>39</v>
      </c>
      <c r="O1095" s="133">
        <v>1</v>
      </c>
      <c r="P1095" s="117" t="s">
        <v>112</v>
      </c>
      <c r="Q1095" s="163">
        <f t="shared" si="500"/>
        <v>1</v>
      </c>
      <c r="R1095" s="161">
        <v>1</v>
      </c>
      <c r="S1095" s="163">
        <f t="shared" si="501"/>
        <v>2</v>
      </c>
      <c r="T1095" s="165" t="s">
        <v>48</v>
      </c>
    </row>
    <row r="1096" spans="3:20" ht="20.25" customHeight="1">
      <c r="C1096" s="109">
        <f>D1096</f>
        <v>1096</v>
      </c>
      <c r="D1096" s="115">
        <f t="shared" si="498"/>
        <v>1096</v>
      </c>
      <c r="E1096" s="116" t="s">
        <v>474</v>
      </c>
      <c r="F1096" s="121">
        <f>D1093</f>
        <v>1093</v>
      </c>
      <c r="G1096" s="118"/>
      <c r="H1096" s="118"/>
      <c r="I1096" s="117"/>
      <c r="J1096" s="117"/>
      <c r="K1096" s="131"/>
      <c r="L1096" s="131"/>
      <c r="M1096" s="132"/>
      <c r="N1096" s="117"/>
      <c r="O1096" s="133"/>
      <c r="P1096" s="117"/>
      <c r="Q1096" s="163"/>
      <c r="R1096" s="161"/>
      <c r="S1096" s="163"/>
      <c r="T1096" s="162"/>
    </row>
    <row r="1097" spans="3:20" ht="20.25" customHeight="1">
      <c r="C1097" s="109"/>
      <c r="D1097" s="115">
        <f t="shared" si="498"/>
        <v>1097</v>
      </c>
      <c r="E1097" s="119" t="s">
        <v>475</v>
      </c>
      <c r="F1097" s="121">
        <f t="shared" ref="F1097:F1105" si="502">D1096</f>
        <v>1096</v>
      </c>
      <c r="G1097" s="118" t="s">
        <v>201</v>
      </c>
      <c r="H1097" s="118"/>
      <c r="I1097" s="117"/>
      <c r="J1097" s="145" t="s">
        <v>463</v>
      </c>
      <c r="K1097" s="131">
        <v>2</v>
      </c>
      <c r="L1097" s="131" t="s">
        <v>81</v>
      </c>
      <c r="M1097" s="132">
        <v>1</v>
      </c>
      <c r="N1097" s="145" t="s">
        <v>39</v>
      </c>
      <c r="O1097" s="133">
        <v>0.5</v>
      </c>
      <c r="P1097" s="117" t="s">
        <v>112</v>
      </c>
      <c r="Q1097" s="163">
        <f t="shared" ref="Q1097:Q1105" si="503">M1097*O1097</f>
        <v>0.5</v>
      </c>
      <c r="R1097" s="161">
        <v>1</v>
      </c>
      <c r="S1097" s="163">
        <f t="shared" ref="S1097:S1105" si="504">Q1097+R1097</f>
        <v>1.5</v>
      </c>
      <c r="T1097" s="165" t="s">
        <v>48</v>
      </c>
    </row>
    <row r="1098" spans="3:20" ht="20.25" customHeight="1">
      <c r="C1098" s="109"/>
      <c r="D1098" s="115">
        <f t="shared" si="498"/>
        <v>1098</v>
      </c>
      <c r="E1098" s="119" t="s">
        <v>476</v>
      </c>
      <c r="F1098" s="121">
        <f t="shared" si="502"/>
        <v>1097</v>
      </c>
      <c r="G1098" s="118" t="s">
        <v>115</v>
      </c>
      <c r="H1098" s="118"/>
      <c r="I1098" s="117">
        <v>14</v>
      </c>
      <c r="J1098" s="145" t="s">
        <v>477</v>
      </c>
      <c r="K1098" s="131">
        <v>1</v>
      </c>
      <c r="L1098" s="131" t="s">
        <v>39</v>
      </c>
      <c r="M1098" s="155">
        <f>16*25.4*3.142*K1098/1000</f>
        <v>1.2769088</v>
      </c>
      <c r="N1098" s="145" t="s">
        <v>249</v>
      </c>
      <c r="O1098" s="175">
        <f>VLOOKUP(I1098,BM!$A$2:$X$104,17,FALSE)</f>
        <v>3.22</v>
      </c>
      <c r="P1098" s="117" t="s">
        <v>112</v>
      </c>
      <c r="Q1098" s="163">
        <f t="shared" si="503"/>
        <v>4.1116463359999997</v>
      </c>
      <c r="R1098" s="161">
        <v>1</v>
      </c>
      <c r="S1098" s="163">
        <f t="shared" si="504"/>
        <v>5.1116463359999997</v>
      </c>
      <c r="T1098" s="165" t="s">
        <v>48</v>
      </c>
    </row>
    <row r="1099" spans="3:20" ht="20.25" customHeight="1">
      <c r="C1099" s="109"/>
      <c r="D1099" s="115">
        <f t="shared" si="498"/>
        <v>1099</v>
      </c>
      <c r="E1099" s="119" t="s">
        <v>478</v>
      </c>
      <c r="F1099" s="121">
        <f t="shared" si="502"/>
        <v>1098</v>
      </c>
      <c r="G1099" s="118" t="s">
        <v>115</v>
      </c>
      <c r="H1099" s="118"/>
      <c r="I1099" s="117">
        <v>14</v>
      </c>
      <c r="J1099" s="145" t="s">
        <v>477</v>
      </c>
      <c r="K1099" s="131">
        <v>1</v>
      </c>
      <c r="L1099" s="131" t="s">
        <v>39</v>
      </c>
      <c r="M1099" s="155">
        <f>16*25.4*3.142*K1099/1000</f>
        <v>1.2769088</v>
      </c>
      <c r="N1099" s="145" t="s">
        <v>249</v>
      </c>
      <c r="O1099" s="175">
        <f>VLOOKUP(I1099,BM!$A$2:$X$104,17,FALSE)</f>
        <v>3.22</v>
      </c>
      <c r="P1099" s="117" t="s">
        <v>112</v>
      </c>
      <c r="Q1099" s="163">
        <f t="shared" si="503"/>
        <v>4.1116463359999997</v>
      </c>
      <c r="R1099" s="161">
        <v>1</v>
      </c>
      <c r="S1099" s="163">
        <f t="shared" si="504"/>
        <v>5.1116463359999997</v>
      </c>
      <c r="T1099" s="165" t="s">
        <v>48</v>
      </c>
    </row>
    <row r="1100" spans="3:20" ht="20.25" customHeight="1">
      <c r="C1100" s="109"/>
      <c r="D1100" s="115">
        <f t="shared" si="498"/>
        <v>1100</v>
      </c>
      <c r="E1100" s="119" t="s">
        <v>479</v>
      </c>
      <c r="F1100" s="121">
        <f t="shared" si="502"/>
        <v>1099</v>
      </c>
      <c r="G1100" s="118" t="s">
        <v>115</v>
      </c>
      <c r="H1100" s="118"/>
      <c r="I1100" s="117">
        <v>14</v>
      </c>
      <c r="J1100" s="145" t="s">
        <v>477</v>
      </c>
      <c r="K1100" s="131">
        <v>2</v>
      </c>
      <c r="L1100" s="131" t="s">
        <v>39</v>
      </c>
      <c r="M1100" s="132">
        <v>2</v>
      </c>
      <c r="N1100" s="145" t="s">
        <v>81</v>
      </c>
      <c r="O1100" s="133">
        <v>1</v>
      </c>
      <c r="P1100" s="117" t="s">
        <v>112</v>
      </c>
      <c r="Q1100" s="163">
        <f t="shared" si="503"/>
        <v>2</v>
      </c>
      <c r="R1100" s="161">
        <v>1</v>
      </c>
      <c r="S1100" s="163">
        <f t="shared" si="504"/>
        <v>3</v>
      </c>
      <c r="T1100" s="165" t="s">
        <v>48</v>
      </c>
    </row>
    <row r="1101" spans="3:20" ht="20.25" customHeight="1">
      <c r="C1101" s="109"/>
      <c r="D1101" s="115">
        <f t="shared" si="498"/>
        <v>1101</v>
      </c>
      <c r="E1101" s="119" t="s">
        <v>480</v>
      </c>
      <c r="F1101" s="121">
        <f t="shared" si="502"/>
        <v>1100</v>
      </c>
      <c r="G1101" s="118" t="s">
        <v>115</v>
      </c>
      <c r="H1101" s="118"/>
      <c r="I1101" s="117">
        <v>6</v>
      </c>
      <c r="J1101" s="145" t="s">
        <v>477</v>
      </c>
      <c r="K1101" s="131">
        <v>1</v>
      </c>
      <c r="L1101" s="131" t="s">
        <v>39</v>
      </c>
      <c r="M1101" s="155">
        <f>16*25.4*3.142*K1101/1000</f>
        <v>1.2769088</v>
      </c>
      <c r="N1101" s="145" t="s">
        <v>249</v>
      </c>
      <c r="O1101" s="175">
        <f>VLOOKUP(I1101,BM!$A$2:$X$104,17,FALSE)</f>
        <v>0.9</v>
      </c>
      <c r="P1101" s="117" t="s">
        <v>112</v>
      </c>
      <c r="Q1101" s="163">
        <f t="shared" si="503"/>
        <v>1.1492179199999999</v>
      </c>
      <c r="R1101" s="161">
        <v>1</v>
      </c>
      <c r="S1101" s="163">
        <f t="shared" si="504"/>
        <v>2.1492179199999999</v>
      </c>
      <c r="T1101" s="165" t="s">
        <v>48</v>
      </c>
    </row>
    <row r="1102" spans="3:20" ht="20.25" customHeight="1">
      <c r="C1102" s="109"/>
      <c r="D1102" s="115">
        <f t="shared" si="498"/>
        <v>1102</v>
      </c>
      <c r="E1102" s="119" t="s">
        <v>481</v>
      </c>
      <c r="F1102" s="121">
        <f t="shared" si="502"/>
        <v>1101</v>
      </c>
      <c r="G1102" s="118" t="s">
        <v>115</v>
      </c>
      <c r="H1102" s="118"/>
      <c r="I1102" s="117">
        <v>6</v>
      </c>
      <c r="J1102" s="145" t="s">
        <v>477</v>
      </c>
      <c r="K1102" s="131">
        <v>1</v>
      </c>
      <c r="L1102" s="131" t="s">
        <v>39</v>
      </c>
      <c r="M1102" s="155">
        <f>16*25.4*3.142*K1102/1000</f>
        <v>1.2769088</v>
      </c>
      <c r="N1102" s="145" t="s">
        <v>249</v>
      </c>
      <c r="O1102" s="175">
        <f>VLOOKUP(I1102,BM!$A$2:$X$104,17,FALSE)</f>
        <v>0.9</v>
      </c>
      <c r="P1102" s="117" t="s">
        <v>112</v>
      </c>
      <c r="Q1102" s="163">
        <f t="shared" si="503"/>
        <v>1.1492179199999999</v>
      </c>
      <c r="R1102" s="161">
        <v>1</v>
      </c>
      <c r="S1102" s="163">
        <f t="shared" si="504"/>
        <v>2.1492179199999999</v>
      </c>
      <c r="T1102" s="165" t="s">
        <v>48</v>
      </c>
    </row>
    <row r="1103" spans="3:20" ht="20.25" customHeight="1">
      <c r="C1103" s="109"/>
      <c r="D1103" s="115">
        <f t="shared" si="498"/>
        <v>1103</v>
      </c>
      <c r="E1103" s="119" t="s">
        <v>769</v>
      </c>
      <c r="F1103" s="121">
        <f t="shared" si="502"/>
        <v>1102</v>
      </c>
      <c r="G1103" s="118" t="s">
        <v>115</v>
      </c>
      <c r="H1103" s="118"/>
      <c r="I1103" s="117"/>
      <c r="J1103" s="145" t="s">
        <v>463</v>
      </c>
      <c r="K1103" s="131">
        <v>2</v>
      </c>
      <c r="L1103" s="131" t="s">
        <v>39</v>
      </c>
      <c r="M1103" s="132">
        <v>2</v>
      </c>
      <c r="N1103" s="117" t="s">
        <v>84</v>
      </c>
      <c r="O1103" s="175">
        <f>VLOOKUP(J1103,BM!$A$2:$X$104,11,FALSE)</f>
        <v>4</v>
      </c>
      <c r="P1103" s="117" t="s">
        <v>112</v>
      </c>
      <c r="Q1103" s="163">
        <f t="shared" si="503"/>
        <v>8</v>
      </c>
      <c r="R1103" s="161">
        <v>1</v>
      </c>
      <c r="S1103" s="163">
        <f t="shared" si="504"/>
        <v>9</v>
      </c>
      <c r="T1103" s="165" t="s">
        <v>48</v>
      </c>
    </row>
    <row r="1104" spans="3:20" ht="20.25" customHeight="1">
      <c r="C1104" s="109"/>
      <c r="D1104" s="115">
        <f t="shared" si="498"/>
        <v>1104</v>
      </c>
      <c r="E1104" s="119" t="s">
        <v>483</v>
      </c>
      <c r="F1104" s="121">
        <f t="shared" si="502"/>
        <v>1103</v>
      </c>
      <c r="G1104" s="118" t="s">
        <v>121</v>
      </c>
      <c r="H1104" s="118"/>
      <c r="I1104" s="117">
        <v>18</v>
      </c>
      <c r="J1104" s="117"/>
      <c r="K1104" s="131">
        <v>2</v>
      </c>
      <c r="L1104" s="131" t="s">
        <v>39</v>
      </c>
      <c r="M1104" s="155">
        <f>16*25.4*3.142*0.001*K1104</f>
        <v>2.5538175999999999</v>
      </c>
      <c r="N1104" s="117" t="s">
        <v>249</v>
      </c>
      <c r="O1104" s="175">
        <f>VLOOKUP(I1104,BM!$A$2:$X$104,23,FALSE)</f>
        <v>6.8</v>
      </c>
      <c r="P1104" s="117" t="s">
        <v>112</v>
      </c>
      <c r="Q1104" s="163">
        <f t="shared" si="503"/>
        <v>17.36595968</v>
      </c>
      <c r="R1104" s="161">
        <v>1</v>
      </c>
      <c r="S1104" s="163">
        <f t="shared" si="504"/>
        <v>18.36595968</v>
      </c>
      <c r="T1104" s="165" t="s">
        <v>48</v>
      </c>
    </row>
    <row r="1105" spans="3:21" ht="20.25" customHeight="1">
      <c r="C1105" s="109"/>
      <c r="D1105" s="115">
        <f t="shared" si="498"/>
        <v>1105</v>
      </c>
      <c r="E1105" s="119" t="s">
        <v>484</v>
      </c>
      <c r="F1105" s="121">
        <f t="shared" si="502"/>
        <v>1104</v>
      </c>
      <c r="G1105" s="118" t="s">
        <v>61</v>
      </c>
      <c r="H1105" s="118"/>
      <c r="I1105" s="117"/>
      <c r="J1105" s="145" t="s">
        <v>477</v>
      </c>
      <c r="K1105" s="131">
        <v>2</v>
      </c>
      <c r="L1105" s="131" t="s">
        <v>485</v>
      </c>
      <c r="M1105" s="155">
        <f>16*25.4*3.142*K1105/1000</f>
        <v>2.5538175999999999</v>
      </c>
      <c r="N1105" s="117" t="s">
        <v>39</v>
      </c>
      <c r="O1105" s="133">
        <v>0.15</v>
      </c>
      <c r="P1105" s="117" t="s">
        <v>112</v>
      </c>
      <c r="Q1105" s="163">
        <f t="shared" si="503"/>
        <v>0.38307263999999996</v>
      </c>
      <c r="R1105" s="161">
        <v>1</v>
      </c>
      <c r="S1105" s="163">
        <f t="shared" si="504"/>
        <v>1.38307264</v>
      </c>
      <c r="T1105" s="165" t="s">
        <v>48</v>
      </c>
    </row>
    <row r="1106" spans="3:21" ht="20.25" customHeight="1">
      <c r="C1106" s="109">
        <f>D1106</f>
        <v>1106</v>
      </c>
      <c r="D1106" s="181">
        <f t="shared" si="498"/>
        <v>1106</v>
      </c>
      <c r="E1106" s="182" t="s">
        <v>781</v>
      </c>
      <c r="F1106" s="121">
        <f>D1104</f>
        <v>1104</v>
      </c>
      <c r="G1106" s="118"/>
      <c r="H1106" s="118"/>
      <c r="I1106" s="117"/>
      <c r="J1106" s="117"/>
      <c r="K1106" s="131"/>
      <c r="L1106" s="131"/>
      <c r="M1106" s="132"/>
      <c r="N1106" s="117"/>
      <c r="O1106" s="133"/>
      <c r="P1106" s="117"/>
      <c r="Q1106" s="163">
        <f t="shared" ref="Q1106:Q1115" si="505">M1106*O1106</f>
        <v>0</v>
      </c>
      <c r="R1106" s="161"/>
      <c r="S1106" s="163">
        <f t="shared" ref="S1106:S1115" si="506">Q1106+R1106</f>
        <v>0</v>
      </c>
      <c r="T1106" s="162"/>
    </row>
    <row r="1107" spans="3:21" ht="20.25" customHeight="1">
      <c r="C1107" s="109"/>
      <c r="D1107" s="181">
        <f t="shared" ref="D1107:D1170" si="507">D1106+1</f>
        <v>1107</v>
      </c>
      <c r="E1107" s="183" t="s">
        <v>692</v>
      </c>
      <c r="F1107" s="121"/>
      <c r="G1107" s="118" t="s">
        <v>299</v>
      </c>
      <c r="H1107" s="118"/>
      <c r="I1107" s="117"/>
      <c r="J1107" s="117"/>
      <c r="K1107" s="131">
        <v>1</v>
      </c>
      <c r="L1107" s="131" t="s">
        <v>39</v>
      </c>
      <c r="M1107" s="132">
        <v>1</v>
      </c>
      <c r="N1107" s="117" t="s">
        <v>249</v>
      </c>
      <c r="O1107" s="133">
        <v>16</v>
      </c>
      <c r="P1107" s="117" t="s">
        <v>112</v>
      </c>
      <c r="Q1107" s="163">
        <f t="shared" si="505"/>
        <v>16</v>
      </c>
      <c r="R1107" s="161">
        <v>1</v>
      </c>
      <c r="S1107" s="163">
        <f t="shared" si="506"/>
        <v>17</v>
      </c>
      <c r="T1107" s="162">
        <v>1</v>
      </c>
    </row>
    <row r="1108" spans="3:21" ht="20.25" customHeight="1">
      <c r="C1108" s="109"/>
      <c r="D1108" s="181">
        <f t="shared" si="507"/>
        <v>1108</v>
      </c>
      <c r="E1108" s="183" t="s">
        <v>693</v>
      </c>
      <c r="F1108" s="121"/>
      <c r="G1108" s="118" t="s">
        <v>299</v>
      </c>
      <c r="H1108" s="118"/>
      <c r="I1108" s="117" t="s">
        <v>376</v>
      </c>
      <c r="J1108" s="117"/>
      <c r="K1108" s="131">
        <v>1</v>
      </c>
      <c r="L1108" s="131" t="s">
        <v>39</v>
      </c>
      <c r="M1108" s="132">
        <v>1</v>
      </c>
      <c r="N1108" s="117" t="s">
        <v>249</v>
      </c>
      <c r="O1108" s="175">
        <f>VLOOKUP(I1108,BM!$A$2:$X$104,11,FALSE)</f>
        <v>4</v>
      </c>
      <c r="P1108" s="117" t="s">
        <v>112</v>
      </c>
      <c r="Q1108" s="163">
        <f t="shared" si="505"/>
        <v>4</v>
      </c>
      <c r="R1108" s="161">
        <v>1</v>
      </c>
      <c r="S1108" s="163">
        <f t="shared" si="506"/>
        <v>5</v>
      </c>
      <c r="T1108" s="162">
        <v>1</v>
      </c>
    </row>
    <row r="1109" spans="3:21" ht="20.25" customHeight="1">
      <c r="C1109" s="109"/>
      <c r="D1109" s="181">
        <f t="shared" si="507"/>
        <v>1109</v>
      </c>
      <c r="E1109" s="183" t="s">
        <v>694</v>
      </c>
      <c r="F1109" s="121"/>
      <c r="G1109" s="118" t="s">
        <v>299</v>
      </c>
      <c r="H1109" s="118"/>
      <c r="I1109" s="117" t="s">
        <v>463</v>
      </c>
      <c r="J1109" s="117"/>
      <c r="K1109" s="131">
        <v>1</v>
      </c>
      <c r="L1109" s="131" t="s">
        <v>39</v>
      </c>
      <c r="M1109" s="132">
        <v>1</v>
      </c>
      <c r="N1109" s="117" t="s">
        <v>249</v>
      </c>
      <c r="O1109" s="175">
        <f>VLOOKUP(I1109,BM!$A$2:$X$104,11,FALSE)</f>
        <v>4</v>
      </c>
      <c r="P1109" s="117" t="s">
        <v>112</v>
      </c>
      <c r="Q1109" s="163">
        <f t="shared" si="505"/>
        <v>4</v>
      </c>
      <c r="R1109" s="161">
        <v>1</v>
      </c>
      <c r="S1109" s="163">
        <f t="shared" si="506"/>
        <v>5</v>
      </c>
      <c r="T1109" s="162">
        <v>1</v>
      </c>
    </row>
    <row r="1110" spans="3:21" ht="20.25" customHeight="1">
      <c r="C1110" s="109"/>
      <c r="D1110" s="181">
        <f t="shared" si="507"/>
        <v>1110</v>
      </c>
      <c r="E1110" s="183" t="s">
        <v>696</v>
      </c>
      <c r="F1110" s="121"/>
      <c r="G1110" s="118" t="s">
        <v>115</v>
      </c>
      <c r="H1110" s="118"/>
      <c r="I1110" s="117">
        <v>18</v>
      </c>
      <c r="J1110" s="117" t="s">
        <v>782</v>
      </c>
      <c r="K1110" s="131">
        <v>1</v>
      </c>
      <c r="L1110" s="131" t="s">
        <v>39</v>
      </c>
      <c r="M1110" s="155" t="e">
        <f>#REF!*3.142*0.001*K1110</f>
        <v>#REF!</v>
      </c>
      <c r="N1110" s="117" t="s">
        <v>249</v>
      </c>
      <c r="O1110" s="175">
        <f>VLOOKUP(I1110,BM!$A$2:$X$104,17,FALSE)</f>
        <v>4.9000000000000004</v>
      </c>
      <c r="P1110" s="117" t="s">
        <v>112</v>
      </c>
      <c r="Q1110" s="163" t="e">
        <f t="shared" si="505"/>
        <v>#REF!</v>
      </c>
      <c r="R1110" s="161">
        <v>1</v>
      </c>
      <c r="S1110" s="163" t="e">
        <f t="shared" si="506"/>
        <v>#REF!</v>
      </c>
      <c r="T1110" s="162">
        <v>1</v>
      </c>
    </row>
    <row r="1111" spans="3:21" ht="20.25" customHeight="1">
      <c r="C1111" s="109"/>
      <c r="D1111" s="181">
        <f t="shared" si="507"/>
        <v>1111</v>
      </c>
      <c r="E1111" s="183" t="s">
        <v>698</v>
      </c>
      <c r="F1111" s="121"/>
      <c r="G1111" s="118" t="s">
        <v>115</v>
      </c>
      <c r="H1111" s="118"/>
      <c r="I1111" s="117">
        <v>18</v>
      </c>
      <c r="J1111" s="117" t="s">
        <v>782</v>
      </c>
      <c r="K1111" s="131">
        <v>1</v>
      </c>
      <c r="L1111" s="131" t="s">
        <v>39</v>
      </c>
      <c r="M1111" s="155" t="e">
        <f>#REF!*3.142*0.001*K1111</f>
        <v>#REF!</v>
      </c>
      <c r="N1111" s="117" t="s">
        <v>249</v>
      </c>
      <c r="O1111" s="175">
        <f>VLOOKUP(I1111,BM!$A$2:$X$104,17,FALSE)</f>
        <v>4.9000000000000004</v>
      </c>
      <c r="P1111" s="117" t="s">
        <v>112</v>
      </c>
      <c r="Q1111" s="163" t="e">
        <f t="shared" si="505"/>
        <v>#REF!</v>
      </c>
      <c r="R1111" s="161">
        <v>1</v>
      </c>
      <c r="S1111" s="163" t="e">
        <f t="shared" si="506"/>
        <v>#REF!</v>
      </c>
      <c r="T1111" s="162">
        <v>1</v>
      </c>
    </row>
    <row r="1112" spans="3:21" ht="20.25" customHeight="1">
      <c r="C1112" s="109"/>
      <c r="D1112" s="181">
        <f t="shared" si="507"/>
        <v>1112</v>
      </c>
      <c r="E1112" s="183" t="s">
        <v>700</v>
      </c>
      <c r="F1112" s="121"/>
      <c r="G1112" s="118" t="s">
        <v>299</v>
      </c>
      <c r="H1112" s="118"/>
      <c r="I1112" s="117"/>
      <c r="J1112" s="117"/>
      <c r="K1112" s="131">
        <v>1</v>
      </c>
      <c r="L1112" s="131" t="s">
        <v>39</v>
      </c>
      <c r="M1112" s="132">
        <v>1</v>
      </c>
      <c r="N1112" s="117" t="s">
        <v>249</v>
      </c>
      <c r="O1112" s="133">
        <v>12</v>
      </c>
      <c r="P1112" s="117" t="s">
        <v>112</v>
      </c>
      <c r="Q1112" s="163">
        <f t="shared" si="505"/>
        <v>12</v>
      </c>
      <c r="R1112" s="161">
        <v>1</v>
      </c>
      <c r="S1112" s="163">
        <f t="shared" si="506"/>
        <v>13</v>
      </c>
      <c r="T1112" s="162">
        <v>1</v>
      </c>
    </row>
    <row r="1113" spans="3:21" ht="20.25" customHeight="1">
      <c r="C1113" s="109"/>
      <c r="D1113" s="181">
        <f t="shared" si="507"/>
        <v>1113</v>
      </c>
      <c r="E1113" s="183" t="s">
        <v>783</v>
      </c>
      <c r="F1113" s="121"/>
      <c r="G1113" s="118" t="s">
        <v>121</v>
      </c>
      <c r="H1113" s="118"/>
      <c r="I1113" s="117">
        <v>18</v>
      </c>
      <c r="J1113" s="117"/>
      <c r="K1113" s="131">
        <v>1</v>
      </c>
      <c r="L1113" s="131" t="s">
        <v>39</v>
      </c>
      <c r="M1113" s="155" t="e">
        <f>#REF!*3.142*0.001*K1113</f>
        <v>#REF!</v>
      </c>
      <c r="N1113" s="117" t="s">
        <v>249</v>
      </c>
      <c r="O1113" s="175">
        <f>VLOOKUP(I1113,BM!$A$2:$X$104,20,FALSE)</f>
        <v>0.5</v>
      </c>
      <c r="P1113" s="117" t="s">
        <v>112</v>
      </c>
      <c r="Q1113" s="163" t="e">
        <f t="shared" si="505"/>
        <v>#REF!</v>
      </c>
      <c r="R1113" s="161">
        <v>1</v>
      </c>
      <c r="S1113" s="163" t="e">
        <f t="shared" si="506"/>
        <v>#REF!</v>
      </c>
      <c r="T1113" s="162">
        <v>1</v>
      </c>
    </row>
    <row r="1114" spans="3:21" ht="20.25" customHeight="1">
      <c r="C1114" s="109"/>
      <c r="D1114" s="181">
        <f t="shared" si="507"/>
        <v>1114</v>
      </c>
      <c r="E1114" s="183" t="s">
        <v>784</v>
      </c>
      <c r="F1114" s="121"/>
      <c r="G1114" s="118" t="s">
        <v>121</v>
      </c>
      <c r="H1114" s="118"/>
      <c r="I1114" s="117">
        <v>18</v>
      </c>
      <c r="J1114" s="117"/>
      <c r="K1114" s="131">
        <v>1</v>
      </c>
      <c r="L1114" s="131" t="s">
        <v>39</v>
      </c>
      <c r="M1114" s="155" t="e">
        <f>#REF!*3.142*0.001*K1114</f>
        <v>#REF!</v>
      </c>
      <c r="N1114" s="117" t="s">
        <v>249</v>
      </c>
      <c r="O1114" s="175">
        <f>VLOOKUP(I1114,BM!$A$2:$X$104,20,FALSE)</f>
        <v>0.5</v>
      </c>
      <c r="P1114" s="117" t="s">
        <v>112</v>
      </c>
      <c r="Q1114" s="163" t="e">
        <f t="shared" si="505"/>
        <v>#REF!</v>
      </c>
      <c r="R1114" s="161">
        <v>1</v>
      </c>
      <c r="S1114" s="163" t="e">
        <f t="shared" si="506"/>
        <v>#REF!</v>
      </c>
      <c r="T1114" s="162">
        <v>1</v>
      </c>
    </row>
    <row r="1115" spans="3:21" ht="20.25" customHeight="1">
      <c r="C1115" s="109"/>
      <c r="D1115" s="181">
        <f t="shared" si="507"/>
        <v>1115</v>
      </c>
      <c r="E1115" s="183" t="s">
        <v>703</v>
      </c>
      <c r="F1115" s="121"/>
      <c r="G1115" s="118" t="s">
        <v>312</v>
      </c>
      <c r="H1115" s="118"/>
      <c r="I1115" s="121">
        <f>I1113</f>
        <v>18</v>
      </c>
      <c r="J1115" s="121">
        <f t="shared" ref="J1115:M1115" si="508">J1113</f>
        <v>0</v>
      </c>
      <c r="K1115" s="177">
        <f t="shared" si="508"/>
        <v>1</v>
      </c>
      <c r="L1115" s="177" t="str">
        <f t="shared" si="508"/>
        <v>No</v>
      </c>
      <c r="M1115" s="155" t="e">
        <f t="shared" si="508"/>
        <v>#REF!</v>
      </c>
      <c r="N1115" s="117" t="s">
        <v>39</v>
      </c>
      <c r="O1115" s="133">
        <v>1</v>
      </c>
      <c r="P1115" s="117" t="s">
        <v>41</v>
      </c>
      <c r="Q1115" s="163" t="e">
        <f t="shared" si="505"/>
        <v>#REF!</v>
      </c>
      <c r="R1115" s="161"/>
      <c r="S1115" s="163" t="e">
        <f t="shared" si="506"/>
        <v>#REF!</v>
      </c>
      <c r="T1115" s="162"/>
    </row>
    <row r="1116" spans="3:21" ht="20.25" customHeight="1">
      <c r="C1116" s="109">
        <f>D1116</f>
        <v>1116</v>
      </c>
      <c r="D1116" s="115">
        <f t="shared" si="507"/>
        <v>1116</v>
      </c>
      <c r="E1116" s="116" t="s">
        <v>770</v>
      </c>
      <c r="F1116" s="121">
        <f>D1106</f>
        <v>1106</v>
      </c>
      <c r="G1116" s="118"/>
      <c r="H1116" s="118"/>
      <c r="I1116" s="117"/>
      <c r="J1116" s="117"/>
      <c r="K1116" s="131"/>
      <c r="L1116" s="131"/>
      <c r="M1116" s="132"/>
      <c r="N1116" s="117"/>
      <c r="O1116" s="133"/>
      <c r="P1116" s="117"/>
      <c r="Q1116" s="163"/>
      <c r="R1116" s="161"/>
      <c r="S1116" s="163"/>
      <c r="T1116" s="162"/>
    </row>
    <row r="1117" spans="3:21" ht="20.25" customHeight="1">
      <c r="C1117" s="109"/>
      <c r="D1117" s="115">
        <f t="shared" si="507"/>
        <v>1117</v>
      </c>
      <c r="E1117" s="119" t="s">
        <v>487</v>
      </c>
      <c r="F1117" s="121">
        <f t="shared" ref="F1117:F1118" si="509">D1116</f>
        <v>1116</v>
      </c>
      <c r="G1117" s="118" t="s">
        <v>299</v>
      </c>
      <c r="H1117" s="118"/>
      <c r="I1117" s="117">
        <v>24</v>
      </c>
      <c r="J1117" s="145">
        <v>14465</v>
      </c>
      <c r="K1117" s="131">
        <v>1</v>
      </c>
      <c r="L1117" s="131" t="s">
        <v>39</v>
      </c>
      <c r="M1117" s="132">
        <f>J1117*K1117/1000</f>
        <v>14.465</v>
      </c>
      <c r="N1117" s="117" t="s">
        <v>81</v>
      </c>
      <c r="O1117" s="133">
        <v>0.5</v>
      </c>
      <c r="P1117" s="117" t="s">
        <v>112</v>
      </c>
      <c r="Q1117" s="163">
        <f t="shared" ref="Q1117:Q1118" si="510">M1117*O1117</f>
        <v>7.2324999999999999</v>
      </c>
      <c r="R1117" s="161">
        <v>1</v>
      </c>
      <c r="S1117" s="163">
        <f t="shared" ref="S1117:S1118" si="511">Q1117+R1117</f>
        <v>8.2324999999999999</v>
      </c>
      <c r="T1117" s="165" t="s">
        <v>48</v>
      </c>
      <c r="U1117" s="100">
        <f>466*2*2+1231*2*2+1212*2+1231+780*2+1231*2</f>
        <v>14465</v>
      </c>
    </row>
    <row r="1118" spans="3:21" ht="20.25" customHeight="1">
      <c r="C1118" s="109"/>
      <c r="D1118" s="115">
        <f t="shared" si="507"/>
        <v>1118</v>
      </c>
      <c r="E1118" s="119" t="s">
        <v>488</v>
      </c>
      <c r="F1118" s="121">
        <f t="shared" si="509"/>
        <v>1117</v>
      </c>
      <c r="G1118" s="118" t="s">
        <v>44</v>
      </c>
      <c r="H1118" s="118"/>
      <c r="I1118" s="117">
        <v>24</v>
      </c>
      <c r="J1118" s="145" t="s">
        <v>489</v>
      </c>
      <c r="K1118" s="131">
        <v>3</v>
      </c>
      <c r="L1118" s="131" t="s">
        <v>39</v>
      </c>
      <c r="M1118" s="132">
        <v>4</v>
      </c>
      <c r="N1118" s="117" t="s">
        <v>81</v>
      </c>
      <c r="O1118" s="133">
        <v>0.5</v>
      </c>
      <c r="P1118" s="117" t="s">
        <v>112</v>
      </c>
      <c r="Q1118" s="163">
        <f t="shared" si="510"/>
        <v>2</v>
      </c>
      <c r="R1118" s="161">
        <v>1</v>
      </c>
      <c r="S1118" s="163">
        <f t="shared" si="511"/>
        <v>3</v>
      </c>
      <c r="T1118" s="165" t="s">
        <v>48</v>
      </c>
    </row>
    <row r="1119" spans="3:21" ht="20.25" customHeight="1">
      <c r="C1119" s="109">
        <f>D1119</f>
        <v>1119</v>
      </c>
      <c r="D1119" s="115">
        <f t="shared" si="507"/>
        <v>1119</v>
      </c>
      <c r="E1119" s="116" t="s">
        <v>490</v>
      </c>
      <c r="F1119" s="121">
        <f>D1116</f>
        <v>1116</v>
      </c>
      <c r="G1119" s="118"/>
      <c r="H1119" s="118"/>
      <c r="I1119" s="117"/>
      <c r="J1119" s="117"/>
      <c r="K1119" s="131"/>
      <c r="L1119" s="131"/>
      <c r="M1119" s="132"/>
      <c r="N1119" s="117"/>
      <c r="O1119" s="133"/>
      <c r="P1119" s="117"/>
      <c r="Q1119" s="163"/>
      <c r="R1119" s="161"/>
      <c r="S1119" s="163"/>
      <c r="T1119" s="162"/>
    </row>
    <row r="1120" spans="3:21" ht="20.25" customHeight="1">
      <c r="C1120" s="109"/>
      <c r="D1120" s="115">
        <f t="shared" si="507"/>
        <v>1120</v>
      </c>
      <c r="E1120" s="119" t="s">
        <v>491</v>
      </c>
      <c r="F1120" s="121">
        <f t="shared" ref="F1120:F1121" si="512">D1119</f>
        <v>1119</v>
      </c>
      <c r="G1120" s="118" t="s">
        <v>115</v>
      </c>
      <c r="H1120" s="118"/>
      <c r="I1120" s="117">
        <v>24</v>
      </c>
      <c r="J1120" s="117">
        <v>1480</v>
      </c>
      <c r="K1120" s="131">
        <v>3</v>
      </c>
      <c r="L1120" s="131" t="s">
        <v>39</v>
      </c>
      <c r="M1120" s="155">
        <f>J1120*K1120/1000</f>
        <v>4.4400000000000004</v>
      </c>
      <c r="N1120" s="117"/>
      <c r="O1120" s="175">
        <f>VLOOKUP(I1120,BM!$A$2:$X$104,23,FALSE)</f>
        <v>11.2</v>
      </c>
      <c r="P1120" s="117" t="s">
        <v>112</v>
      </c>
      <c r="Q1120" s="163">
        <f t="shared" ref="Q1120:Q1121" si="513">M1120*O1120</f>
        <v>49.728000000000002</v>
      </c>
      <c r="R1120" s="161">
        <v>1</v>
      </c>
      <c r="S1120" s="163">
        <f t="shared" ref="S1120:S1121" si="514">Q1120+R1120</f>
        <v>50.728000000000002</v>
      </c>
      <c r="T1120" s="165" t="s">
        <v>48</v>
      </c>
    </row>
    <row r="1121" spans="3:21" ht="20.25" customHeight="1">
      <c r="C1121" s="109"/>
      <c r="D1121" s="115">
        <f t="shared" si="507"/>
        <v>1121</v>
      </c>
      <c r="E1121" s="119" t="s">
        <v>492</v>
      </c>
      <c r="F1121" s="121">
        <f t="shared" si="512"/>
        <v>1120</v>
      </c>
      <c r="G1121" s="118" t="s">
        <v>121</v>
      </c>
      <c r="H1121" s="118"/>
      <c r="I1121" s="117">
        <v>12</v>
      </c>
      <c r="J1121" s="145" t="s">
        <v>493</v>
      </c>
      <c r="K1121" s="131">
        <v>1</v>
      </c>
      <c r="L1121" s="131" t="s">
        <v>39</v>
      </c>
      <c r="M1121" s="141">
        <f>LEFT(J1121,SEARCH(" ",J1121,1)-1)*K1121/1000</f>
        <v>12.31</v>
      </c>
      <c r="N1121" s="117" t="s">
        <v>39</v>
      </c>
      <c r="O1121" s="175">
        <f>VLOOKUP(I1121,BM!$A$2:$X$104,22,FALSE)</f>
        <v>1.6</v>
      </c>
      <c r="P1121" s="117" t="s">
        <v>112</v>
      </c>
      <c r="Q1121" s="163">
        <f t="shared" si="513"/>
        <v>19.696000000000002</v>
      </c>
      <c r="R1121" s="161">
        <v>1</v>
      </c>
      <c r="S1121" s="163">
        <f t="shared" si="514"/>
        <v>20.696000000000002</v>
      </c>
      <c r="T1121" s="165" t="s">
        <v>48</v>
      </c>
      <c r="U1121" s="100">
        <f>(1231*10)</f>
        <v>12310</v>
      </c>
    </row>
    <row r="1122" spans="3:21" ht="20.25" customHeight="1">
      <c r="C1122" s="109">
        <f>D1122</f>
        <v>1122</v>
      </c>
      <c r="D1122" s="115">
        <f t="shared" si="507"/>
        <v>1122</v>
      </c>
      <c r="E1122" s="116" t="s">
        <v>771</v>
      </c>
      <c r="F1122" s="121">
        <f>D1119</f>
        <v>1119</v>
      </c>
      <c r="G1122" s="118"/>
      <c r="H1122" s="118"/>
      <c r="I1122" s="117"/>
      <c r="J1122" s="117"/>
      <c r="K1122" s="131"/>
      <c r="L1122" s="131"/>
      <c r="M1122" s="132"/>
      <c r="N1122" s="117"/>
      <c r="O1122" s="133"/>
      <c r="P1122" s="117"/>
      <c r="Q1122" s="163"/>
      <c r="R1122" s="161"/>
      <c r="S1122" s="163"/>
      <c r="T1122" s="162"/>
    </row>
    <row r="1123" spans="3:21" ht="20.25" customHeight="1">
      <c r="C1123" s="109"/>
      <c r="D1123" s="115">
        <f t="shared" si="507"/>
        <v>1123</v>
      </c>
      <c r="E1123" s="119" t="s">
        <v>495</v>
      </c>
      <c r="F1123" s="121">
        <f t="shared" ref="F1123:F1125" si="515">D1122</f>
        <v>1122</v>
      </c>
      <c r="G1123" s="118" t="s">
        <v>44</v>
      </c>
      <c r="H1123" s="118"/>
      <c r="I1123" s="117">
        <v>18</v>
      </c>
      <c r="J1123" s="117" t="s">
        <v>496</v>
      </c>
      <c r="K1123" s="131">
        <v>1</v>
      </c>
      <c r="L1123" s="131" t="s">
        <v>39</v>
      </c>
      <c r="M1123" s="132">
        <v>1</v>
      </c>
      <c r="N1123" s="117" t="s">
        <v>39</v>
      </c>
      <c r="O1123" s="133">
        <v>4</v>
      </c>
      <c r="P1123" s="117" t="s">
        <v>112</v>
      </c>
      <c r="Q1123" s="163">
        <f t="shared" ref="Q1123:Q1125" si="516">M1123*O1123</f>
        <v>4</v>
      </c>
      <c r="R1123" s="161">
        <v>1</v>
      </c>
      <c r="S1123" s="163">
        <f t="shared" ref="S1123:S1125" si="517">Q1123+R1123</f>
        <v>5</v>
      </c>
      <c r="T1123" s="165" t="s">
        <v>48</v>
      </c>
    </row>
    <row r="1124" spans="3:21" ht="20.25" customHeight="1">
      <c r="C1124" s="109"/>
      <c r="D1124" s="115">
        <f t="shared" si="507"/>
        <v>1124</v>
      </c>
      <c r="E1124" s="119" t="s">
        <v>497</v>
      </c>
      <c r="F1124" s="121">
        <f t="shared" si="515"/>
        <v>1123</v>
      </c>
      <c r="G1124" s="118" t="s">
        <v>498</v>
      </c>
      <c r="H1124" s="118"/>
      <c r="I1124" s="117">
        <v>18</v>
      </c>
      <c r="J1124" s="117" t="s">
        <v>499</v>
      </c>
      <c r="K1124" s="131">
        <v>1</v>
      </c>
      <c r="L1124" s="131" t="s">
        <v>39</v>
      </c>
      <c r="M1124" s="132">
        <v>1</v>
      </c>
      <c r="N1124" s="117" t="s">
        <v>39</v>
      </c>
      <c r="O1124" s="133">
        <v>4</v>
      </c>
      <c r="P1124" s="117" t="s">
        <v>112</v>
      </c>
      <c r="Q1124" s="163">
        <f t="shared" si="516"/>
        <v>4</v>
      </c>
      <c r="R1124" s="161">
        <v>1</v>
      </c>
      <c r="S1124" s="163">
        <f t="shared" si="517"/>
        <v>5</v>
      </c>
      <c r="T1124" s="165" t="s">
        <v>48</v>
      </c>
    </row>
    <row r="1125" spans="3:21" ht="20.25" customHeight="1">
      <c r="C1125" s="109"/>
      <c r="D1125" s="115">
        <f t="shared" si="507"/>
        <v>1125</v>
      </c>
      <c r="E1125" s="119" t="s">
        <v>500</v>
      </c>
      <c r="F1125" s="121">
        <f t="shared" si="515"/>
        <v>1124</v>
      </c>
      <c r="G1125" s="118" t="s">
        <v>115</v>
      </c>
      <c r="H1125" s="118"/>
      <c r="I1125" s="117">
        <v>12</v>
      </c>
      <c r="J1125" s="117">
        <v>6</v>
      </c>
      <c r="K1125" s="131">
        <v>1</v>
      </c>
      <c r="L1125" s="131" t="s">
        <v>39</v>
      </c>
      <c r="M1125" s="155">
        <f>J1125*K1125</f>
        <v>6</v>
      </c>
      <c r="N1125" s="117" t="s">
        <v>139</v>
      </c>
      <c r="O1125" s="175">
        <f>VLOOKUP(I1125,BM!$A$2:$X$104,22,FALSE)</f>
        <v>1.6</v>
      </c>
      <c r="P1125" s="117" t="s">
        <v>112</v>
      </c>
      <c r="Q1125" s="163">
        <f t="shared" si="516"/>
        <v>9.6000000000000014</v>
      </c>
      <c r="R1125" s="161">
        <v>1</v>
      </c>
      <c r="S1125" s="163">
        <f t="shared" si="517"/>
        <v>10.600000000000001</v>
      </c>
      <c r="T1125" s="165" t="s">
        <v>48</v>
      </c>
    </row>
    <row r="1126" spans="3:21" ht="20.25" customHeight="1">
      <c r="C1126" s="109">
        <f>D1126</f>
        <v>1126</v>
      </c>
      <c r="D1126" s="115">
        <f t="shared" si="507"/>
        <v>1126</v>
      </c>
      <c r="E1126" s="116" t="s">
        <v>772</v>
      </c>
      <c r="F1126" s="121">
        <f>D1122</f>
        <v>1122</v>
      </c>
      <c r="G1126" s="118"/>
      <c r="H1126" s="118"/>
      <c r="I1126" s="117"/>
      <c r="J1126" s="117"/>
      <c r="K1126" s="131"/>
      <c r="L1126" s="131"/>
      <c r="M1126" s="132"/>
      <c r="N1126" s="117"/>
      <c r="O1126" s="133"/>
      <c r="P1126" s="117"/>
      <c r="Q1126" s="163"/>
      <c r="R1126" s="161"/>
      <c r="S1126" s="163"/>
      <c r="T1126" s="162"/>
    </row>
    <row r="1127" spans="3:21" ht="20.25" customHeight="1">
      <c r="C1127" s="109"/>
      <c r="D1127" s="115">
        <f t="shared" si="507"/>
        <v>1127</v>
      </c>
      <c r="E1127" s="119" t="s">
        <v>502</v>
      </c>
      <c r="F1127" s="121">
        <f t="shared" ref="F1127:F1128" si="518">D1126</f>
        <v>1126</v>
      </c>
      <c r="G1127" s="118" t="s">
        <v>149</v>
      </c>
      <c r="H1127" s="118"/>
      <c r="I1127" s="117">
        <v>18</v>
      </c>
      <c r="J1127" s="117" t="s">
        <v>503</v>
      </c>
      <c r="K1127" s="131">
        <v>1</v>
      </c>
      <c r="L1127" s="131" t="s">
        <v>39</v>
      </c>
      <c r="M1127" s="132">
        <v>1</v>
      </c>
      <c r="N1127" s="117" t="s">
        <v>39</v>
      </c>
      <c r="O1127" s="133">
        <v>8</v>
      </c>
      <c r="P1127" s="117" t="s">
        <v>112</v>
      </c>
      <c r="Q1127" s="163">
        <f t="shared" ref="Q1127:Q1128" si="519">M1127*O1127</f>
        <v>8</v>
      </c>
      <c r="R1127" s="161">
        <v>1</v>
      </c>
      <c r="S1127" s="163">
        <f t="shared" ref="S1127:S1128" si="520">Q1127+R1127</f>
        <v>9</v>
      </c>
      <c r="T1127" s="165" t="s">
        <v>48</v>
      </c>
    </row>
    <row r="1128" spans="3:21" ht="20.25" customHeight="1">
      <c r="C1128" s="109"/>
      <c r="D1128" s="115">
        <f t="shared" si="507"/>
        <v>1128</v>
      </c>
      <c r="E1128" s="119" t="s">
        <v>504</v>
      </c>
      <c r="F1128" s="121">
        <f t="shared" si="518"/>
        <v>1127</v>
      </c>
      <c r="G1128" s="118" t="s">
        <v>63</v>
      </c>
      <c r="H1128" s="118"/>
      <c r="I1128" s="117">
        <v>18</v>
      </c>
      <c r="J1128" s="117" t="s">
        <v>503</v>
      </c>
      <c r="K1128" s="131">
        <v>1</v>
      </c>
      <c r="L1128" s="131" t="s">
        <v>39</v>
      </c>
      <c r="M1128" s="132">
        <v>1</v>
      </c>
      <c r="N1128" s="117" t="s">
        <v>39</v>
      </c>
      <c r="O1128" s="133">
        <v>1</v>
      </c>
      <c r="P1128" s="117" t="s">
        <v>41</v>
      </c>
      <c r="Q1128" s="163">
        <f t="shared" si="519"/>
        <v>1</v>
      </c>
      <c r="R1128" s="161"/>
      <c r="S1128" s="163">
        <f t="shared" si="520"/>
        <v>1</v>
      </c>
      <c r="T1128" s="165" t="str">
        <f>T1127</f>
        <v>Hrs</v>
      </c>
    </row>
    <row r="1129" spans="3:21" ht="20.25" customHeight="1">
      <c r="C1129" s="109">
        <f t="shared" ref="C1129:C1130" si="521">D1129</f>
        <v>1129</v>
      </c>
      <c r="D1129" s="115">
        <f t="shared" si="507"/>
        <v>1129</v>
      </c>
      <c r="E1129" s="176" t="s">
        <v>505</v>
      </c>
      <c r="F1129" s="121">
        <f>D1126</f>
        <v>1126</v>
      </c>
      <c r="G1129" s="118"/>
      <c r="H1129" s="118"/>
      <c r="I1129" s="117"/>
      <c r="J1129" s="117"/>
      <c r="K1129" s="131"/>
      <c r="L1129" s="131"/>
      <c r="M1129" s="132"/>
      <c r="N1129" s="117"/>
      <c r="O1129" s="133"/>
      <c r="P1129" s="117"/>
      <c r="Q1129" s="163"/>
      <c r="R1129" s="161"/>
      <c r="S1129" s="163"/>
      <c r="T1129" s="162"/>
    </row>
    <row r="1130" spans="3:21" ht="20.25" customHeight="1">
      <c r="C1130" s="109">
        <f t="shared" si="521"/>
        <v>1130</v>
      </c>
      <c r="D1130" s="115">
        <f t="shared" si="507"/>
        <v>1130</v>
      </c>
      <c r="E1130" s="116" t="s">
        <v>506</v>
      </c>
      <c r="F1130" s="121">
        <f>D635</f>
        <v>635</v>
      </c>
      <c r="G1130" s="118"/>
      <c r="H1130" s="118"/>
      <c r="I1130" s="117"/>
      <c r="J1130" s="117"/>
      <c r="K1130" s="131">
        <v>1</v>
      </c>
      <c r="L1130" s="154" t="s">
        <v>39</v>
      </c>
      <c r="M1130" s="132">
        <v>1</v>
      </c>
      <c r="N1130" s="145" t="s">
        <v>39</v>
      </c>
      <c r="O1130" s="133">
        <v>4</v>
      </c>
      <c r="P1130" s="145" t="s">
        <v>41</v>
      </c>
      <c r="Q1130" s="163">
        <f t="shared" ref="Q1130:Q1136" si="522">M1130*O1130</f>
        <v>4</v>
      </c>
      <c r="R1130" s="161"/>
      <c r="S1130" s="163">
        <f t="shared" ref="S1130:S1136" si="523">Q1130+R1130</f>
        <v>4</v>
      </c>
      <c r="T1130" s="165" t="s">
        <v>162</v>
      </c>
    </row>
    <row r="1131" spans="3:21" ht="20.25" customHeight="1">
      <c r="C1131" s="109"/>
      <c r="D1131" s="115">
        <f t="shared" si="507"/>
        <v>1131</v>
      </c>
      <c r="E1131" s="119" t="s">
        <v>507</v>
      </c>
      <c r="F1131" s="121">
        <f t="shared" ref="F1131:F1136" si="524">D1130</f>
        <v>1130</v>
      </c>
      <c r="G1131" s="118" t="s">
        <v>37</v>
      </c>
      <c r="H1131" s="118"/>
      <c r="I1131" s="117">
        <v>18</v>
      </c>
      <c r="J1131" s="145" t="s">
        <v>508</v>
      </c>
      <c r="K1131" s="131">
        <v>1</v>
      </c>
      <c r="L1131" s="131" t="s">
        <v>81</v>
      </c>
      <c r="M1131" s="141">
        <f>LEFT(J1131,SEARCH(" ",J1131,1)-1)*K1131/1000</f>
        <v>0.373</v>
      </c>
      <c r="N1131" s="117" t="s">
        <v>139</v>
      </c>
      <c r="O1131" s="175">
        <f>VLOOKUP(I1131,BM!$A$2:$X$104,2,FALSE)</f>
        <v>0.1</v>
      </c>
      <c r="P1131" s="117" t="s">
        <v>47</v>
      </c>
      <c r="Q1131" s="163">
        <f t="shared" si="522"/>
        <v>3.73E-2</v>
      </c>
      <c r="R1131" s="161">
        <v>1</v>
      </c>
      <c r="S1131" s="163">
        <f t="shared" si="523"/>
        <v>1.0373000000000001</v>
      </c>
      <c r="T1131" s="165" t="s">
        <v>162</v>
      </c>
    </row>
    <row r="1132" spans="3:21" ht="20.25" customHeight="1">
      <c r="C1132" s="109"/>
      <c r="D1132" s="115">
        <f t="shared" si="507"/>
        <v>1132</v>
      </c>
      <c r="E1132" s="119" t="s">
        <v>509</v>
      </c>
      <c r="F1132" s="121">
        <f t="shared" si="524"/>
        <v>1131</v>
      </c>
      <c r="G1132" s="118" t="s">
        <v>201</v>
      </c>
      <c r="H1132" s="118"/>
      <c r="I1132" s="117">
        <v>18</v>
      </c>
      <c r="J1132" s="145" t="s">
        <v>510</v>
      </c>
      <c r="K1132" s="131">
        <v>1</v>
      </c>
      <c r="L1132" s="131" t="s">
        <v>81</v>
      </c>
      <c r="M1132" s="141">
        <f t="shared" ref="M1132:M1136" si="525">LEFT(J1132,SEARCH(" ",J1132,1)-1)*K1132/1000</f>
        <v>11.3</v>
      </c>
      <c r="N1132" s="117" t="s">
        <v>139</v>
      </c>
      <c r="O1132" s="175">
        <f>VLOOKUP(I1132,BM!$A$2:$X$104,3,FALSE)</f>
        <v>0.25</v>
      </c>
      <c r="P1132" s="117" t="s">
        <v>47</v>
      </c>
      <c r="Q1132" s="163">
        <f t="shared" si="522"/>
        <v>2.8250000000000002</v>
      </c>
      <c r="R1132" s="161">
        <v>1</v>
      </c>
      <c r="S1132" s="163">
        <f t="shared" si="523"/>
        <v>3.8250000000000002</v>
      </c>
      <c r="T1132" s="165" t="s">
        <v>162</v>
      </c>
    </row>
    <row r="1133" spans="3:21" ht="20.25" customHeight="1">
      <c r="C1133" s="109"/>
      <c r="D1133" s="115">
        <f t="shared" si="507"/>
        <v>1133</v>
      </c>
      <c r="E1133" s="119" t="s">
        <v>511</v>
      </c>
      <c r="F1133" s="121">
        <f t="shared" si="524"/>
        <v>1132</v>
      </c>
      <c r="G1133" s="118" t="s">
        <v>52</v>
      </c>
      <c r="H1133" s="118"/>
      <c r="I1133" s="117">
        <v>18</v>
      </c>
      <c r="J1133" s="117" t="str">
        <f t="shared" ref="J1133:J1136" si="526">J1132</f>
        <v>11300 mm</v>
      </c>
      <c r="K1133" s="131">
        <v>1</v>
      </c>
      <c r="L1133" s="131" t="s">
        <v>81</v>
      </c>
      <c r="M1133" s="141">
        <f t="shared" si="525"/>
        <v>11.3</v>
      </c>
      <c r="N1133" s="117" t="s">
        <v>139</v>
      </c>
      <c r="O1133" s="175">
        <f>VLOOKUP(I1133,BM!$A$2:$X$104,4,FALSE)</f>
        <v>0.15</v>
      </c>
      <c r="P1133" s="117" t="s">
        <v>47</v>
      </c>
      <c r="Q1133" s="163">
        <f t="shared" si="522"/>
        <v>1.6950000000000001</v>
      </c>
      <c r="R1133" s="161">
        <v>1</v>
      </c>
      <c r="S1133" s="163">
        <f t="shared" si="523"/>
        <v>2.6950000000000003</v>
      </c>
      <c r="T1133" s="165" t="s">
        <v>162</v>
      </c>
    </row>
    <row r="1134" spans="3:21" ht="20.25" customHeight="1">
      <c r="C1134" s="109"/>
      <c r="D1134" s="115">
        <f t="shared" si="507"/>
        <v>1134</v>
      </c>
      <c r="E1134" s="119" t="s">
        <v>512</v>
      </c>
      <c r="F1134" s="121">
        <f t="shared" si="524"/>
        <v>1133</v>
      </c>
      <c r="G1134" s="118" t="s">
        <v>61</v>
      </c>
      <c r="H1134" s="118"/>
      <c r="I1134" s="117">
        <v>18</v>
      </c>
      <c r="J1134" s="117" t="str">
        <f t="shared" si="526"/>
        <v>11300 mm</v>
      </c>
      <c r="K1134" s="131">
        <v>1</v>
      </c>
      <c r="L1134" s="131" t="s">
        <v>81</v>
      </c>
      <c r="M1134" s="141">
        <f t="shared" si="525"/>
        <v>11.3</v>
      </c>
      <c r="N1134" s="117" t="s">
        <v>139</v>
      </c>
      <c r="O1134" s="175">
        <f>VLOOKUP(I1134,BM!$A$2:$X$104,5,FALSE)</f>
        <v>0.5</v>
      </c>
      <c r="P1134" s="117" t="s">
        <v>47</v>
      </c>
      <c r="Q1134" s="163">
        <f t="shared" si="522"/>
        <v>5.65</v>
      </c>
      <c r="R1134" s="161">
        <v>1</v>
      </c>
      <c r="S1134" s="163">
        <f t="shared" si="523"/>
        <v>6.65</v>
      </c>
      <c r="T1134" s="165" t="s">
        <v>162</v>
      </c>
    </row>
    <row r="1135" spans="3:21" ht="20.25" customHeight="1">
      <c r="C1135" s="109"/>
      <c r="D1135" s="115">
        <f t="shared" si="507"/>
        <v>1135</v>
      </c>
      <c r="E1135" s="119" t="s">
        <v>513</v>
      </c>
      <c r="F1135" s="121">
        <f t="shared" si="524"/>
        <v>1134</v>
      </c>
      <c r="G1135" s="118" t="s">
        <v>224</v>
      </c>
      <c r="H1135" s="118"/>
      <c r="I1135" s="117">
        <v>18</v>
      </c>
      <c r="J1135" s="117" t="str">
        <f t="shared" si="526"/>
        <v>11300 mm</v>
      </c>
      <c r="K1135" s="131">
        <v>1</v>
      </c>
      <c r="L1135" s="131" t="s">
        <v>81</v>
      </c>
      <c r="M1135" s="141">
        <f t="shared" si="525"/>
        <v>11.3</v>
      </c>
      <c r="N1135" s="117" t="s">
        <v>139</v>
      </c>
      <c r="O1135" s="175">
        <f>VLOOKUP(I1135,BM!$A$2:$X$104,6,FALSE)</f>
        <v>1</v>
      </c>
      <c r="P1135" s="117" t="s">
        <v>47</v>
      </c>
      <c r="Q1135" s="163">
        <f t="shared" si="522"/>
        <v>11.3</v>
      </c>
      <c r="R1135" s="161">
        <v>1</v>
      </c>
      <c r="S1135" s="163">
        <f t="shared" si="523"/>
        <v>12.3</v>
      </c>
      <c r="T1135" s="165" t="s">
        <v>162</v>
      </c>
    </row>
    <row r="1136" spans="3:21" ht="20.25" customHeight="1">
      <c r="C1136" s="109"/>
      <c r="D1136" s="115">
        <f t="shared" si="507"/>
        <v>1136</v>
      </c>
      <c r="E1136" s="119" t="s">
        <v>416</v>
      </c>
      <c r="F1136" s="121">
        <f t="shared" si="524"/>
        <v>1135</v>
      </c>
      <c r="G1136" s="118" t="s">
        <v>61</v>
      </c>
      <c r="H1136" s="118"/>
      <c r="I1136" s="117">
        <v>18</v>
      </c>
      <c r="J1136" s="117" t="str">
        <f t="shared" si="526"/>
        <v>11300 mm</v>
      </c>
      <c r="K1136" s="131">
        <v>1</v>
      </c>
      <c r="L1136" s="131" t="s">
        <v>81</v>
      </c>
      <c r="M1136" s="141">
        <f t="shared" si="525"/>
        <v>11.3</v>
      </c>
      <c r="N1136" s="117" t="s">
        <v>139</v>
      </c>
      <c r="O1136" s="175">
        <f>VLOOKUP(I1136,BM!$A$2:$X$104,6,FALSE)</f>
        <v>1</v>
      </c>
      <c r="P1136" s="117" t="s">
        <v>47</v>
      </c>
      <c r="Q1136" s="163">
        <f t="shared" si="522"/>
        <v>11.3</v>
      </c>
      <c r="R1136" s="161">
        <v>1</v>
      </c>
      <c r="S1136" s="163">
        <f t="shared" si="523"/>
        <v>12.3</v>
      </c>
      <c r="T1136" s="165" t="s">
        <v>162</v>
      </c>
    </row>
    <row r="1137" spans="3:20" ht="20.25" customHeight="1">
      <c r="C1137" s="109">
        <f>D1137</f>
        <v>1137</v>
      </c>
      <c r="D1137" s="115">
        <f t="shared" si="507"/>
        <v>1137</v>
      </c>
      <c r="E1137" s="116" t="s">
        <v>773</v>
      </c>
      <c r="F1137" s="121">
        <f>D1130</f>
        <v>1130</v>
      </c>
      <c r="G1137" s="118"/>
      <c r="H1137" s="118"/>
      <c r="I1137" s="117"/>
      <c r="J1137" s="117"/>
      <c r="K1137" s="131"/>
      <c r="L1137" s="131"/>
      <c r="M1137" s="132"/>
      <c r="N1137" s="117"/>
      <c r="O1137" s="133"/>
      <c r="P1137" s="117"/>
      <c r="Q1137" s="163"/>
      <c r="R1137" s="161"/>
      <c r="S1137" s="163"/>
      <c r="T1137" s="162"/>
    </row>
    <row r="1138" spans="3:20" ht="20.25" customHeight="1">
      <c r="C1138" s="109"/>
      <c r="D1138" s="115">
        <f t="shared" si="507"/>
        <v>1138</v>
      </c>
      <c r="E1138" s="119" t="s">
        <v>515</v>
      </c>
      <c r="F1138" s="121">
        <f t="shared" ref="F1138:F1141" si="527">D1137</f>
        <v>1137</v>
      </c>
      <c r="G1138" s="118" t="s">
        <v>286</v>
      </c>
      <c r="H1138" s="118"/>
      <c r="I1138" s="121">
        <f>I1136</f>
        <v>18</v>
      </c>
      <c r="J1138" s="125" t="s">
        <v>516</v>
      </c>
      <c r="K1138" s="131">
        <v>1</v>
      </c>
      <c r="L1138" s="131" t="s">
        <v>81</v>
      </c>
      <c r="M1138" s="132">
        <v>1</v>
      </c>
      <c r="N1138" s="117" t="s">
        <v>139</v>
      </c>
      <c r="O1138" s="133">
        <v>3</v>
      </c>
      <c r="P1138" s="117" t="s">
        <v>112</v>
      </c>
      <c r="Q1138" s="163">
        <f t="shared" ref="Q1138:Q1141" si="528">M1138*O1138</f>
        <v>3</v>
      </c>
      <c r="R1138" s="161">
        <v>1</v>
      </c>
      <c r="S1138" s="163">
        <f t="shared" ref="S1138:S1141" si="529">Q1138+R1138</f>
        <v>4</v>
      </c>
      <c r="T1138" s="165" t="s">
        <v>162</v>
      </c>
    </row>
    <row r="1139" spans="3:20" ht="20.25" customHeight="1">
      <c r="C1139" s="109"/>
      <c r="D1139" s="115">
        <f t="shared" si="507"/>
        <v>1139</v>
      </c>
      <c r="E1139" s="119" t="s">
        <v>517</v>
      </c>
      <c r="F1139" s="121">
        <f t="shared" si="527"/>
        <v>1138</v>
      </c>
      <c r="G1139" s="118" t="s">
        <v>420</v>
      </c>
      <c r="H1139" s="118"/>
      <c r="I1139" s="121">
        <f t="shared" ref="I1139:J1139" si="530">I1138</f>
        <v>18</v>
      </c>
      <c r="J1139" s="121" t="str">
        <f t="shared" si="530"/>
        <v>1664 mm id</v>
      </c>
      <c r="K1139" s="131">
        <v>1</v>
      </c>
      <c r="L1139" s="131" t="s">
        <v>81</v>
      </c>
      <c r="M1139" s="141">
        <f>LEFT(J1139,SEARCH(" ",J1139,1)-1)*K1139*2/1000</f>
        <v>3.3279999999999998</v>
      </c>
      <c r="N1139" s="145" t="s">
        <v>39</v>
      </c>
      <c r="O1139" s="175">
        <f>VLOOKUP(I1139,BM!$A$2:$X$104,8,FALSE)</f>
        <v>0.3</v>
      </c>
      <c r="P1139" s="117" t="s">
        <v>112</v>
      </c>
      <c r="Q1139" s="163">
        <f t="shared" si="528"/>
        <v>0.99839999999999995</v>
      </c>
      <c r="R1139" s="161">
        <v>1</v>
      </c>
      <c r="S1139" s="163">
        <f t="shared" si="529"/>
        <v>1.9984</v>
      </c>
      <c r="T1139" s="165" t="s">
        <v>162</v>
      </c>
    </row>
    <row r="1140" spans="3:20" ht="20.25" customHeight="1">
      <c r="C1140" s="109"/>
      <c r="D1140" s="115">
        <f t="shared" si="507"/>
        <v>1140</v>
      </c>
      <c r="E1140" s="119" t="s">
        <v>518</v>
      </c>
      <c r="F1140" s="121">
        <f t="shared" si="527"/>
        <v>1139</v>
      </c>
      <c r="G1140" s="118" t="s">
        <v>348</v>
      </c>
      <c r="H1140" s="118"/>
      <c r="I1140" s="121">
        <f t="shared" ref="I1140:J1140" si="531">I1139</f>
        <v>18</v>
      </c>
      <c r="J1140" s="121" t="str">
        <f t="shared" si="531"/>
        <v>1664 mm id</v>
      </c>
      <c r="K1140" s="131">
        <v>1</v>
      </c>
      <c r="L1140" s="131" t="s">
        <v>81</v>
      </c>
      <c r="M1140" s="141">
        <f>LEFT(J1140,SEARCH(" ",J1140,1)-1)*K1140*2/1000</f>
        <v>3.3279999999999998</v>
      </c>
      <c r="N1140" s="117" t="s">
        <v>139</v>
      </c>
      <c r="O1140" s="175">
        <f>VLOOKUP(I1140,BM!$A$2:$X$104,9,FALSE)</f>
        <v>1</v>
      </c>
      <c r="P1140" s="117" t="s">
        <v>112</v>
      </c>
      <c r="Q1140" s="163">
        <f t="shared" si="528"/>
        <v>3.3279999999999998</v>
      </c>
      <c r="R1140" s="161">
        <v>1</v>
      </c>
      <c r="S1140" s="163">
        <f t="shared" si="529"/>
        <v>4.3279999999999994</v>
      </c>
      <c r="T1140" s="165" t="s">
        <v>162</v>
      </c>
    </row>
    <row r="1141" spans="3:20" ht="20.25" customHeight="1">
      <c r="C1141" s="109"/>
      <c r="D1141" s="115">
        <f t="shared" si="507"/>
        <v>1141</v>
      </c>
      <c r="E1141" s="119" t="s">
        <v>519</v>
      </c>
      <c r="F1141" s="121">
        <f t="shared" si="527"/>
        <v>1140</v>
      </c>
      <c r="G1141" s="118" t="s">
        <v>286</v>
      </c>
      <c r="H1141" s="118"/>
      <c r="I1141" s="121">
        <f t="shared" ref="I1141:J1141" si="532">I1140</f>
        <v>18</v>
      </c>
      <c r="J1141" s="121" t="str">
        <f t="shared" si="532"/>
        <v>1664 mm id</v>
      </c>
      <c r="K1141" s="131">
        <v>1</v>
      </c>
      <c r="L1141" s="131" t="s">
        <v>81</v>
      </c>
      <c r="M1141" s="141">
        <v>1</v>
      </c>
      <c r="N1141" s="145" t="s">
        <v>39</v>
      </c>
      <c r="O1141" s="133">
        <v>3</v>
      </c>
      <c r="P1141" s="117" t="s">
        <v>112</v>
      </c>
      <c r="Q1141" s="163">
        <f t="shared" si="528"/>
        <v>3</v>
      </c>
      <c r="R1141" s="161">
        <v>1</v>
      </c>
      <c r="S1141" s="163">
        <f t="shared" si="529"/>
        <v>4</v>
      </c>
      <c r="T1141" s="165" t="s">
        <v>162</v>
      </c>
    </row>
    <row r="1142" spans="3:20" ht="20.25" customHeight="1">
      <c r="C1142" s="109">
        <f>D1142</f>
        <v>1142</v>
      </c>
      <c r="D1142" s="115">
        <f t="shared" si="507"/>
        <v>1142</v>
      </c>
      <c r="E1142" s="116" t="s">
        <v>520</v>
      </c>
      <c r="F1142" s="121">
        <f>D1137</f>
        <v>1137</v>
      </c>
      <c r="G1142" s="118"/>
      <c r="H1142" s="118"/>
      <c r="I1142" s="117"/>
      <c r="J1142" s="117"/>
      <c r="K1142" s="131"/>
      <c r="L1142" s="131"/>
      <c r="M1142" s="132"/>
      <c r="N1142" s="117"/>
      <c r="O1142" s="133"/>
      <c r="P1142" s="117"/>
      <c r="Q1142" s="163"/>
      <c r="R1142" s="161"/>
      <c r="S1142" s="163"/>
      <c r="T1142" s="162"/>
    </row>
    <row r="1143" spans="3:20" ht="20.25" customHeight="1">
      <c r="C1143" s="109"/>
      <c r="D1143" s="115">
        <f t="shared" si="507"/>
        <v>1143</v>
      </c>
      <c r="E1143" s="119" t="s">
        <v>521</v>
      </c>
      <c r="F1143" s="121">
        <f t="shared" ref="F1143:F1144" si="533">D1142</f>
        <v>1142</v>
      </c>
      <c r="G1143" s="118" t="s">
        <v>348</v>
      </c>
      <c r="H1143" s="118"/>
      <c r="I1143" s="121">
        <f>I1141</f>
        <v>18</v>
      </c>
      <c r="J1143" s="121" t="str">
        <f>J1141</f>
        <v>1664 mm id</v>
      </c>
      <c r="K1143" s="131">
        <v>1</v>
      </c>
      <c r="L1143" s="131" t="s">
        <v>81</v>
      </c>
      <c r="M1143" s="141">
        <f t="shared" ref="M1143" si="534">LEFT(J1143,SEARCH(" ",J1143,1)-1)*K1143*2/1000</f>
        <v>3.3279999999999998</v>
      </c>
      <c r="N1143" s="117" t="s">
        <v>139</v>
      </c>
      <c r="O1143" s="175">
        <f>VLOOKUP(I1143,BM!$A$2:$X$104,9,FALSE)</f>
        <v>1</v>
      </c>
      <c r="P1143" s="117" t="s">
        <v>112</v>
      </c>
      <c r="Q1143" s="163">
        <f t="shared" ref="Q1143:Q1144" si="535">M1143*O1143</f>
        <v>3.3279999999999998</v>
      </c>
      <c r="R1143" s="161">
        <v>1</v>
      </c>
      <c r="S1143" s="163">
        <f t="shared" ref="S1143:S1144" si="536">Q1143+R1143</f>
        <v>4.3279999999999994</v>
      </c>
      <c r="T1143" s="165" t="s">
        <v>162</v>
      </c>
    </row>
    <row r="1144" spans="3:20" ht="20.25" customHeight="1">
      <c r="C1144" s="109"/>
      <c r="D1144" s="115">
        <f t="shared" si="507"/>
        <v>1144</v>
      </c>
      <c r="E1144" s="119" t="s">
        <v>522</v>
      </c>
      <c r="F1144" s="121">
        <f t="shared" si="533"/>
        <v>1143</v>
      </c>
      <c r="G1144" s="118" t="s">
        <v>111</v>
      </c>
      <c r="H1144" s="118"/>
      <c r="I1144" s="121">
        <f>I1143</f>
        <v>18</v>
      </c>
      <c r="J1144" s="121" t="str">
        <f>J1141</f>
        <v>1664 mm id</v>
      </c>
      <c r="K1144" s="131">
        <v>1</v>
      </c>
      <c r="L1144" s="131" t="s">
        <v>81</v>
      </c>
      <c r="M1144" s="141">
        <f>LEFT(J1144,SEARCH(" ",J1144,1)-1)*K1144/1000</f>
        <v>1.6639999999999999</v>
      </c>
      <c r="N1144" s="117" t="s">
        <v>139</v>
      </c>
      <c r="O1144" s="175">
        <f>VLOOKUP(I1144,BM!$A$2:$X$104,10,FALSE)</f>
        <v>1</v>
      </c>
      <c r="P1144" s="117" t="s">
        <v>112</v>
      </c>
      <c r="Q1144" s="163">
        <f t="shared" si="535"/>
        <v>1.6639999999999999</v>
      </c>
      <c r="R1144" s="161">
        <v>1</v>
      </c>
      <c r="S1144" s="163">
        <f t="shared" si="536"/>
        <v>2.6639999999999997</v>
      </c>
      <c r="T1144" s="165" t="s">
        <v>162</v>
      </c>
    </row>
    <row r="1145" spans="3:20" ht="20.25" customHeight="1">
      <c r="C1145" s="109">
        <f>D1145</f>
        <v>1145</v>
      </c>
      <c r="D1145" s="115">
        <f t="shared" si="507"/>
        <v>1145</v>
      </c>
      <c r="E1145" s="116" t="s">
        <v>523</v>
      </c>
      <c r="F1145" s="121">
        <f>D1142</f>
        <v>1142</v>
      </c>
      <c r="G1145" s="118"/>
      <c r="H1145" s="118"/>
      <c r="I1145" s="117"/>
      <c r="J1145" s="117"/>
      <c r="K1145" s="131"/>
      <c r="L1145" s="131"/>
      <c r="M1145" s="132"/>
      <c r="N1145" s="117"/>
      <c r="O1145" s="133"/>
      <c r="P1145" s="117"/>
      <c r="Q1145" s="163"/>
      <c r="R1145" s="161"/>
      <c r="S1145" s="163"/>
      <c r="T1145" s="162"/>
    </row>
    <row r="1146" spans="3:20" ht="20.25" customHeight="1">
      <c r="C1146" s="109"/>
      <c r="D1146" s="115">
        <f t="shared" si="507"/>
        <v>1146</v>
      </c>
      <c r="E1146" s="119" t="s">
        <v>524</v>
      </c>
      <c r="F1146" s="121">
        <f t="shared" ref="F1146:F1151" si="537">D1145</f>
        <v>1145</v>
      </c>
      <c r="G1146" s="118" t="s">
        <v>201</v>
      </c>
      <c r="H1146" s="118"/>
      <c r="I1146" s="121">
        <f>I1144</f>
        <v>18</v>
      </c>
      <c r="J1146" s="121" t="str">
        <f t="shared" ref="J1146" si="538">J1144</f>
        <v>1664 mm id</v>
      </c>
      <c r="K1146" s="131">
        <v>1</v>
      </c>
      <c r="L1146" s="131" t="s">
        <v>81</v>
      </c>
      <c r="M1146" s="132">
        <v>1</v>
      </c>
      <c r="N1146" s="117" t="s">
        <v>39</v>
      </c>
      <c r="O1146" s="133">
        <v>1</v>
      </c>
      <c r="P1146" s="117" t="s">
        <v>112</v>
      </c>
      <c r="Q1146" s="163">
        <f t="shared" ref="Q1146:Q1151" si="539">M1146*O1146</f>
        <v>1</v>
      </c>
      <c r="R1146" s="161">
        <v>1</v>
      </c>
      <c r="S1146" s="163">
        <f t="shared" ref="S1146:S1151" si="540">Q1146+R1146</f>
        <v>2</v>
      </c>
      <c r="T1146" s="165" t="s">
        <v>162</v>
      </c>
    </row>
    <row r="1147" spans="3:20" ht="20.25" customHeight="1">
      <c r="C1147" s="109"/>
      <c r="D1147" s="115">
        <f t="shared" si="507"/>
        <v>1147</v>
      </c>
      <c r="E1147" s="119" t="s">
        <v>525</v>
      </c>
      <c r="F1147" s="121">
        <f t="shared" si="537"/>
        <v>1146</v>
      </c>
      <c r="G1147" s="118" t="s">
        <v>115</v>
      </c>
      <c r="H1147" s="118"/>
      <c r="I1147" s="117">
        <v>12</v>
      </c>
      <c r="J1147" s="121" t="str">
        <f t="shared" ref="J1147:J1151" si="541">J1146</f>
        <v>1664 mm id</v>
      </c>
      <c r="K1147" s="131">
        <v>1</v>
      </c>
      <c r="L1147" s="131" t="s">
        <v>81</v>
      </c>
      <c r="M1147" s="141">
        <f t="shared" ref="M1147:M1150" si="542">LEFT(J1147,SEARCH(" ",J1147,1)-1)*K1147/1000</f>
        <v>1.6639999999999999</v>
      </c>
      <c r="N1147" s="117" t="s">
        <v>139</v>
      </c>
      <c r="O1147" s="175">
        <f>VLOOKUP(I1147,BM!$A$2:$X$104,12,FALSE)</f>
        <v>2.5</v>
      </c>
      <c r="P1147" s="117" t="s">
        <v>112</v>
      </c>
      <c r="Q1147" s="163">
        <f t="shared" si="539"/>
        <v>4.16</v>
      </c>
      <c r="R1147" s="161">
        <v>1</v>
      </c>
      <c r="S1147" s="163">
        <f t="shared" si="540"/>
        <v>5.16</v>
      </c>
      <c r="T1147" s="165" t="s">
        <v>162</v>
      </c>
    </row>
    <row r="1148" spans="3:20" ht="20.25" customHeight="1">
      <c r="C1148" s="109"/>
      <c r="D1148" s="115">
        <f t="shared" si="507"/>
        <v>1148</v>
      </c>
      <c r="E1148" s="119" t="s">
        <v>526</v>
      </c>
      <c r="F1148" s="121">
        <f t="shared" si="537"/>
        <v>1147</v>
      </c>
      <c r="G1148" s="118" t="s">
        <v>121</v>
      </c>
      <c r="H1148" s="118"/>
      <c r="I1148" s="117">
        <v>18</v>
      </c>
      <c r="J1148" s="121" t="str">
        <f t="shared" si="541"/>
        <v>1664 mm id</v>
      </c>
      <c r="K1148" s="131">
        <v>1</v>
      </c>
      <c r="L1148" s="131" t="s">
        <v>81</v>
      </c>
      <c r="M1148" s="141">
        <f t="shared" si="542"/>
        <v>1.6639999999999999</v>
      </c>
      <c r="N1148" s="117" t="s">
        <v>139</v>
      </c>
      <c r="O1148" s="175">
        <f>VLOOKUP(I1148,BM!$A$2:$X$104,18,FALSE)</f>
        <v>1</v>
      </c>
      <c r="P1148" s="117" t="s">
        <v>112</v>
      </c>
      <c r="Q1148" s="163">
        <f t="shared" si="539"/>
        <v>1.6639999999999999</v>
      </c>
      <c r="R1148" s="161">
        <v>1</v>
      </c>
      <c r="S1148" s="163">
        <f t="shared" si="540"/>
        <v>2.6639999999999997</v>
      </c>
      <c r="T1148" s="165" t="s">
        <v>162</v>
      </c>
    </row>
    <row r="1149" spans="3:20" ht="20.25" customHeight="1">
      <c r="C1149" s="109"/>
      <c r="D1149" s="115">
        <f t="shared" si="507"/>
        <v>1149</v>
      </c>
      <c r="E1149" s="119" t="s">
        <v>527</v>
      </c>
      <c r="F1149" s="121">
        <f t="shared" si="537"/>
        <v>1148</v>
      </c>
      <c r="G1149" s="118" t="s">
        <v>115</v>
      </c>
      <c r="H1149" s="118"/>
      <c r="I1149" s="117">
        <v>6</v>
      </c>
      <c r="J1149" s="121" t="str">
        <f t="shared" si="541"/>
        <v>1664 mm id</v>
      </c>
      <c r="K1149" s="131">
        <v>1</v>
      </c>
      <c r="L1149" s="131" t="s">
        <v>81</v>
      </c>
      <c r="M1149" s="141">
        <f t="shared" si="542"/>
        <v>1.6639999999999999</v>
      </c>
      <c r="N1149" s="117" t="s">
        <v>139</v>
      </c>
      <c r="O1149" s="175">
        <f>VLOOKUP(I1149,BM!$A$2:$X$104,12,FALSE)</f>
        <v>0.9</v>
      </c>
      <c r="P1149" s="117" t="s">
        <v>112</v>
      </c>
      <c r="Q1149" s="163">
        <f t="shared" si="539"/>
        <v>1.4976</v>
      </c>
      <c r="R1149" s="161">
        <v>1</v>
      </c>
      <c r="S1149" s="163">
        <f t="shared" si="540"/>
        <v>2.4976000000000003</v>
      </c>
      <c r="T1149" s="165" t="s">
        <v>162</v>
      </c>
    </row>
    <row r="1150" spans="3:20" ht="20.25" customHeight="1">
      <c r="C1150" s="109"/>
      <c r="D1150" s="115">
        <f t="shared" si="507"/>
        <v>1150</v>
      </c>
      <c r="E1150" s="119" t="s">
        <v>528</v>
      </c>
      <c r="F1150" s="121">
        <f t="shared" si="537"/>
        <v>1149</v>
      </c>
      <c r="G1150" s="118" t="s">
        <v>61</v>
      </c>
      <c r="H1150" s="118"/>
      <c r="I1150" s="117">
        <v>6</v>
      </c>
      <c r="J1150" s="121" t="str">
        <f t="shared" si="541"/>
        <v>1664 mm id</v>
      </c>
      <c r="K1150" s="131">
        <v>1</v>
      </c>
      <c r="L1150" s="131" t="s">
        <v>81</v>
      </c>
      <c r="M1150" s="141">
        <f t="shared" si="542"/>
        <v>1.6639999999999999</v>
      </c>
      <c r="N1150" s="117" t="s">
        <v>139</v>
      </c>
      <c r="O1150" s="175">
        <f>VLOOKUP(I1150,BM!$A$2:$X$104,20,FALSE)</f>
        <v>0.5</v>
      </c>
      <c r="P1150" s="117" t="s">
        <v>112</v>
      </c>
      <c r="Q1150" s="163">
        <f t="shared" si="539"/>
        <v>0.83199999999999996</v>
      </c>
      <c r="R1150" s="161">
        <v>1</v>
      </c>
      <c r="S1150" s="163">
        <f t="shared" si="540"/>
        <v>1.8319999999999999</v>
      </c>
      <c r="T1150" s="165" t="s">
        <v>162</v>
      </c>
    </row>
    <row r="1151" spans="3:20" ht="20.25" customHeight="1">
      <c r="C1151" s="109"/>
      <c r="D1151" s="115">
        <f t="shared" si="507"/>
        <v>1151</v>
      </c>
      <c r="E1151" s="119" t="s">
        <v>529</v>
      </c>
      <c r="F1151" s="121">
        <f t="shared" si="537"/>
        <v>1150</v>
      </c>
      <c r="G1151" s="118" t="s">
        <v>286</v>
      </c>
      <c r="H1151" s="118"/>
      <c r="I1151" s="117">
        <v>18</v>
      </c>
      <c r="J1151" s="121" t="str">
        <f t="shared" si="541"/>
        <v>1664 mm id</v>
      </c>
      <c r="K1151" s="131">
        <v>1</v>
      </c>
      <c r="L1151" s="131" t="s">
        <v>81</v>
      </c>
      <c r="M1151" s="132">
        <v>1</v>
      </c>
      <c r="N1151" s="117" t="s">
        <v>139</v>
      </c>
      <c r="O1151" s="133">
        <v>3</v>
      </c>
      <c r="P1151" s="117" t="s">
        <v>112</v>
      </c>
      <c r="Q1151" s="163">
        <f t="shared" si="539"/>
        <v>3</v>
      </c>
      <c r="R1151" s="161">
        <v>1</v>
      </c>
      <c r="S1151" s="163">
        <f t="shared" si="540"/>
        <v>4</v>
      </c>
      <c r="T1151" s="165" t="s">
        <v>162</v>
      </c>
    </row>
    <row r="1152" spans="3:20" ht="20.25" customHeight="1">
      <c r="C1152" s="109">
        <f>D1152</f>
        <v>1152</v>
      </c>
      <c r="D1152" s="115">
        <f t="shared" si="507"/>
        <v>1152</v>
      </c>
      <c r="E1152" s="116" t="s">
        <v>530</v>
      </c>
      <c r="F1152" s="121">
        <f>D1145</f>
        <v>1145</v>
      </c>
      <c r="G1152" s="118"/>
      <c r="H1152" s="118"/>
      <c r="I1152" s="117"/>
      <c r="J1152" s="117"/>
      <c r="K1152" s="131"/>
      <c r="L1152" s="131"/>
      <c r="M1152" s="132"/>
      <c r="N1152" s="117"/>
      <c r="O1152" s="133"/>
      <c r="P1152" s="117"/>
      <c r="Q1152" s="163"/>
      <c r="R1152" s="161"/>
      <c r="S1152" s="163"/>
      <c r="T1152" s="162"/>
    </row>
    <row r="1153" spans="3:20" ht="20.25" customHeight="1">
      <c r="C1153" s="109"/>
      <c r="D1153" s="115">
        <f t="shared" si="507"/>
        <v>1153</v>
      </c>
      <c r="E1153" s="119" t="s">
        <v>531</v>
      </c>
      <c r="F1153" s="121">
        <f t="shared" ref="F1153" si="543">D1152</f>
        <v>1152</v>
      </c>
      <c r="G1153" s="118" t="s">
        <v>312</v>
      </c>
      <c r="H1153" s="118"/>
      <c r="I1153" s="121">
        <f>I1151</f>
        <v>18</v>
      </c>
      <c r="J1153" s="121" t="str">
        <f t="shared" ref="J1153:M1153" si="544">J1151</f>
        <v>1664 mm id</v>
      </c>
      <c r="K1153" s="177">
        <f t="shared" si="544"/>
        <v>1</v>
      </c>
      <c r="L1153" s="177" t="str">
        <f t="shared" si="544"/>
        <v>Nos</v>
      </c>
      <c r="M1153" s="121">
        <f t="shared" si="544"/>
        <v>1</v>
      </c>
      <c r="N1153" s="117" t="s">
        <v>39</v>
      </c>
      <c r="O1153" s="133">
        <v>1</v>
      </c>
      <c r="P1153" s="117" t="s">
        <v>41</v>
      </c>
      <c r="Q1153" s="163">
        <f t="shared" ref="Q1153" si="545">M1153*O1153</f>
        <v>1</v>
      </c>
      <c r="R1153" s="121"/>
      <c r="S1153" s="163">
        <f t="shared" ref="S1153" si="546">Q1153+R1153</f>
        <v>1</v>
      </c>
      <c r="T1153" s="145" t="s">
        <v>41</v>
      </c>
    </row>
    <row r="1154" spans="3:20" ht="20.25" customHeight="1">
      <c r="C1154" s="109">
        <f>D1154</f>
        <v>1154</v>
      </c>
      <c r="D1154" s="115">
        <f t="shared" si="507"/>
        <v>1154</v>
      </c>
      <c r="E1154" s="116" t="s">
        <v>532</v>
      </c>
      <c r="F1154" s="121">
        <f>D1152</f>
        <v>1152</v>
      </c>
      <c r="G1154" s="118"/>
      <c r="H1154" s="118"/>
      <c r="I1154" s="117"/>
      <c r="J1154" s="117"/>
      <c r="K1154" s="131"/>
      <c r="L1154" s="131"/>
      <c r="M1154" s="132"/>
      <c r="N1154" s="117"/>
      <c r="O1154" s="133"/>
      <c r="P1154" s="117"/>
      <c r="Q1154" s="163"/>
      <c r="R1154" s="161"/>
      <c r="S1154" s="163"/>
      <c r="T1154" s="162"/>
    </row>
    <row r="1155" spans="3:20" ht="20.25" customHeight="1">
      <c r="C1155" s="109"/>
      <c r="D1155" s="115">
        <f t="shared" si="507"/>
        <v>1155</v>
      </c>
      <c r="E1155" s="119" t="s">
        <v>533</v>
      </c>
      <c r="F1155" s="121">
        <f t="shared" ref="F1155:F1157" si="547">D1154</f>
        <v>1154</v>
      </c>
      <c r="G1155" s="118" t="s">
        <v>348</v>
      </c>
      <c r="H1155" s="118"/>
      <c r="I1155" s="117">
        <v>18</v>
      </c>
      <c r="J1155" s="121" t="str">
        <f>J1153</f>
        <v>1664 mm id</v>
      </c>
      <c r="K1155" s="131">
        <v>1</v>
      </c>
      <c r="L1155" s="131" t="s">
        <v>81</v>
      </c>
      <c r="M1155" s="141">
        <f>LEFT(J1155,SEARCH(" ",J1155,1)-1)*K1155*3.142/1000</f>
        <v>5.2282879999999992</v>
      </c>
      <c r="N1155" s="117" t="s">
        <v>139</v>
      </c>
      <c r="O1155" s="175">
        <f>VLOOKUP(I1155,BM!$A$2:$X$104,15,FALSE)</f>
        <v>1</v>
      </c>
      <c r="P1155" s="117" t="s">
        <v>112</v>
      </c>
      <c r="Q1155" s="163">
        <f t="shared" ref="Q1155:Q1157" si="548">M1155*O1155</f>
        <v>5.2282879999999992</v>
      </c>
      <c r="R1155" s="161">
        <v>1</v>
      </c>
      <c r="S1155" s="163">
        <f t="shared" ref="S1155:S1157" si="549">Q1155+R1155</f>
        <v>6.2282879999999992</v>
      </c>
      <c r="T1155" s="165" t="s">
        <v>48</v>
      </c>
    </row>
    <row r="1156" spans="3:20" ht="20.25" customHeight="1">
      <c r="C1156" s="109"/>
      <c r="D1156" s="115">
        <f t="shared" si="507"/>
        <v>1156</v>
      </c>
      <c r="E1156" s="119" t="s">
        <v>534</v>
      </c>
      <c r="F1156" s="121">
        <f t="shared" si="547"/>
        <v>1155</v>
      </c>
      <c r="G1156" s="118" t="s">
        <v>111</v>
      </c>
      <c r="H1156" s="118"/>
      <c r="I1156" s="117">
        <v>18</v>
      </c>
      <c r="J1156" s="121" t="str">
        <f>J1155</f>
        <v>1664 mm id</v>
      </c>
      <c r="K1156" s="131">
        <v>1</v>
      </c>
      <c r="L1156" s="131" t="s">
        <v>81</v>
      </c>
      <c r="M1156" s="141">
        <f>LEFT(J1156,SEARCH(" ",J1156,1)-1)*K1156*3.142/1000</f>
        <v>5.2282879999999992</v>
      </c>
      <c r="N1156" s="145" t="s">
        <v>39</v>
      </c>
      <c r="O1156" s="175">
        <f>VLOOKUP(I1156,BM!$A$2:$X$104,16,FALSE)</f>
        <v>1</v>
      </c>
      <c r="P1156" s="117" t="s">
        <v>112</v>
      </c>
      <c r="Q1156" s="163">
        <f t="shared" si="548"/>
        <v>5.2282879999999992</v>
      </c>
      <c r="R1156" s="161">
        <v>1</v>
      </c>
      <c r="S1156" s="163">
        <f t="shared" si="549"/>
        <v>6.2282879999999992</v>
      </c>
      <c r="T1156" s="165" t="s">
        <v>48</v>
      </c>
    </row>
    <row r="1157" spans="3:20" ht="20.25" customHeight="1">
      <c r="C1157" s="109"/>
      <c r="D1157" s="115">
        <f t="shared" si="507"/>
        <v>1157</v>
      </c>
      <c r="E1157" s="119" t="s">
        <v>535</v>
      </c>
      <c r="F1157" s="121">
        <f t="shared" si="547"/>
        <v>1156</v>
      </c>
      <c r="G1157" s="118" t="s">
        <v>44</v>
      </c>
      <c r="H1157" s="118"/>
      <c r="I1157" s="117">
        <v>18</v>
      </c>
      <c r="J1157" s="121" t="str">
        <f>J1156</f>
        <v>1664 mm id</v>
      </c>
      <c r="K1157" s="131">
        <v>1</v>
      </c>
      <c r="L1157" s="131" t="s">
        <v>81</v>
      </c>
      <c r="M1157" s="141">
        <f t="shared" ref="M1157" si="550">LEFT(J1157,SEARCH(" ",J1157,1)-1)*K1157*3.142/1000</f>
        <v>5.2282879999999992</v>
      </c>
      <c r="N1157" s="117" t="s">
        <v>50</v>
      </c>
      <c r="O1157" s="133">
        <v>0.25</v>
      </c>
      <c r="P1157" s="117" t="s">
        <v>112</v>
      </c>
      <c r="Q1157" s="163">
        <f t="shared" si="548"/>
        <v>1.3070719999999998</v>
      </c>
      <c r="R1157" s="161">
        <v>1</v>
      </c>
      <c r="S1157" s="163">
        <f t="shared" si="549"/>
        <v>2.3070719999999998</v>
      </c>
      <c r="T1157" s="165" t="s">
        <v>48</v>
      </c>
    </row>
    <row r="1158" spans="3:20" ht="20.25" customHeight="1">
      <c r="C1158" s="109">
        <f>D1158</f>
        <v>1158</v>
      </c>
      <c r="D1158" s="115">
        <f t="shared" si="507"/>
        <v>1158</v>
      </c>
      <c r="E1158" s="116" t="s">
        <v>536</v>
      </c>
      <c r="F1158" s="121">
        <f>D1154</f>
        <v>1154</v>
      </c>
      <c r="G1158" s="118"/>
      <c r="H1158" s="118"/>
      <c r="I1158" s="117"/>
      <c r="J1158" s="117"/>
      <c r="K1158" s="131"/>
      <c r="L1158" s="131"/>
      <c r="M1158" s="132"/>
      <c r="N1158" s="117"/>
      <c r="O1158" s="133"/>
      <c r="P1158" s="117"/>
      <c r="Q1158" s="163"/>
      <c r="R1158" s="161"/>
      <c r="S1158" s="163"/>
      <c r="T1158" s="162"/>
    </row>
    <row r="1159" spans="3:20" ht="20.25" customHeight="1">
      <c r="C1159" s="109"/>
      <c r="D1159" s="115">
        <f t="shared" si="507"/>
        <v>1159</v>
      </c>
      <c r="E1159" s="119" t="s">
        <v>537</v>
      </c>
      <c r="F1159" s="121">
        <f t="shared" ref="F1159:F1163" si="551">D1158</f>
        <v>1158</v>
      </c>
      <c r="G1159" s="118" t="s">
        <v>201</v>
      </c>
      <c r="H1159" s="118"/>
      <c r="I1159" s="117">
        <v>12</v>
      </c>
      <c r="J1159" s="121" t="str">
        <f>J1157</f>
        <v>1664 mm id</v>
      </c>
      <c r="K1159" s="131">
        <v>1</v>
      </c>
      <c r="L1159" s="131" t="s">
        <v>81</v>
      </c>
      <c r="M1159" s="132">
        <v>1</v>
      </c>
      <c r="N1159" s="117" t="s">
        <v>249</v>
      </c>
      <c r="O1159" s="133">
        <v>1</v>
      </c>
      <c r="P1159" s="117" t="s">
        <v>112</v>
      </c>
      <c r="Q1159" s="163">
        <f t="shared" ref="Q1159:Q1163" si="552">M1159*O1159</f>
        <v>1</v>
      </c>
      <c r="R1159" s="161">
        <v>1</v>
      </c>
      <c r="S1159" s="163">
        <f t="shared" ref="S1159:S1163" si="553">Q1159+R1159</f>
        <v>2</v>
      </c>
      <c r="T1159" s="165" t="s">
        <v>48</v>
      </c>
    </row>
    <row r="1160" spans="3:20" ht="20.25" customHeight="1">
      <c r="C1160" s="109"/>
      <c r="D1160" s="115">
        <f t="shared" si="507"/>
        <v>1160</v>
      </c>
      <c r="E1160" s="119" t="s">
        <v>538</v>
      </c>
      <c r="F1160" s="121">
        <f t="shared" si="551"/>
        <v>1159</v>
      </c>
      <c r="G1160" s="118" t="s">
        <v>115</v>
      </c>
      <c r="H1160" s="118"/>
      <c r="I1160" s="117">
        <v>12</v>
      </c>
      <c r="J1160" s="121" t="str">
        <f>J1159</f>
        <v>1664 mm id</v>
      </c>
      <c r="K1160" s="131">
        <v>1</v>
      </c>
      <c r="L1160" s="131" t="s">
        <v>81</v>
      </c>
      <c r="M1160" s="141">
        <f t="shared" ref="M1160:M1163" si="554">LEFT(J1160,SEARCH(" ",J1160,1)-1)*K1160*3.142/1000</f>
        <v>5.2282879999999992</v>
      </c>
      <c r="N1160" s="117" t="s">
        <v>249</v>
      </c>
      <c r="O1160" s="175">
        <f>VLOOKUP(I1160,BM!$A$2:$X$104,17,FALSE)</f>
        <v>2.5</v>
      </c>
      <c r="P1160" s="117" t="s">
        <v>112</v>
      </c>
      <c r="Q1160" s="163">
        <f t="shared" si="552"/>
        <v>13.070719999999998</v>
      </c>
      <c r="R1160" s="161">
        <v>1</v>
      </c>
      <c r="S1160" s="163">
        <f t="shared" si="553"/>
        <v>14.070719999999998</v>
      </c>
      <c r="T1160" s="165" t="s">
        <v>48</v>
      </c>
    </row>
    <row r="1161" spans="3:20" ht="20.25" customHeight="1">
      <c r="C1161" s="109"/>
      <c r="D1161" s="115">
        <f t="shared" si="507"/>
        <v>1161</v>
      </c>
      <c r="E1161" s="119" t="s">
        <v>539</v>
      </c>
      <c r="F1161" s="121">
        <f t="shared" si="551"/>
        <v>1160</v>
      </c>
      <c r="G1161" s="118" t="s">
        <v>61</v>
      </c>
      <c r="H1161" s="118"/>
      <c r="I1161" s="117">
        <v>18</v>
      </c>
      <c r="J1161" s="121" t="str">
        <f t="shared" ref="J1161:J1163" si="555">J1159</f>
        <v>1664 mm id</v>
      </c>
      <c r="K1161" s="131">
        <v>1</v>
      </c>
      <c r="L1161" s="131" t="s">
        <v>81</v>
      </c>
      <c r="M1161" s="141">
        <f t="shared" si="554"/>
        <v>5.2282879999999992</v>
      </c>
      <c r="N1161" s="117" t="s">
        <v>249</v>
      </c>
      <c r="O1161" s="175">
        <f>VLOOKUP(I1161,BM!$A$2:$X$104,18,FALSE)</f>
        <v>1</v>
      </c>
      <c r="P1161" s="117" t="s">
        <v>112</v>
      </c>
      <c r="Q1161" s="163">
        <f t="shared" si="552"/>
        <v>5.2282879999999992</v>
      </c>
      <c r="R1161" s="161">
        <v>1</v>
      </c>
      <c r="S1161" s="163">
        <f t="shared" si="553"/>
        <v>6.2282879999999992</v>
      </c>
      <c r="T1161" s="165" t="s">
        <v>48</v>
      </c>
    </row>
    <row r="1162" spans="3:20" ht="20.25" customHeight="1">
      <c r="C1162" s="109"/>
      <c r="D1162" s="115">
        <f t="shared" si="507"/>
        <v>1162</v>
      </c>
      <c r="E1162" s="119" t="s">
        <v>540</v>
      </c>
      <c r="F1162" s="121">
        <f t="shared" si="551"/>
        <v>1161</v>
      </c>
      <c r="G1162" s="118" t="s">
        <v>115</v>
      </c>
      <c r="H1162" s="118"/>
      <c r="I1162" s="117">
        <v>6</v>
      </c>
      <c r="J1162" s="121" t="str">
        <f t="shared" si="555"/>
        <v>1664 mm id</v>
      </c>
      <c r="K1162" s="131">
        <v>1</v>
      </c>
      <c r="L1162" s="131" t="s">
        <v>81</v>
      </c>
      <c r="M1162" s="141">
        <f t="shared" si="554"/>
        <v>5.2282879999999992</v>
      </c>
      <c r="N1162" s="117" t="s">
        <v>249</v>
      </c>
      <c r="O1162" s="175">
        <f>VLOOKUP(I1162,BM!$A$2:$X$104,17,FALSE)</f>
        <v>0.9</v>
      </c>
      <c r="P1162" s="117" t="s">
        <v>112</v>
      </c>
      <c r="Q1162" s="163">
        <f t="shared" si="552"/>
        <v>4.7054591999999991</v>
      </c>
      <c r="R1162" s="161">
        <v>1</v>
      </c>
      <c r="S1162" s="163">
        <f t="shared" si="553"/>
        <v>5.7054591999999991</v>
      </c>
      <c r="T1162" s="165" t="s">
        <v>48</v>
      </c>
    </row>
    <row r="1163" spans="3:20" ht="20.25" customHeight="1">
      <c r="C1163" s="109"/>
      <c r="D1163" s="115">
        <f t="shared" si="507"/>
        <v>1163</v>
      </c>
      <c r="E1163" s="119" t="s">
        <v>541</v>
      </c>
      <c r="F1163" s="121">
        <f t="shared" si="551"/>
        <v>1162</v>
      </c>
      <c r="G1163" s="118" t="s">
        <v>61</v>
      </c>
      <c r="H1163" s="118"/>
      <c r="I1163" s="117">
        <v>18</v>
      </c>
      <c r="J1163" s="121" t="str">
        <f t="shared" si="555"/>
        <v>1664 mm id</v>
      </c>
      <c r="K1163" s="131">
        <v>1</v>
      </c>
      <c r="L1163" s="131" t="s">
        <v>81</v>
      </c>
      <c r="M1163" s="141">
        <f t="shared" si="554"/>
        <v>5.2282879999999992</v>
      </c>
      <c r="N1163" s="117" t="s">
        <v>249</v>
      </c>
      <c r="O1163" s="175">
        <f>VLOOKUP(I1163,BM!$A$2:$X$104,20,FALSE)</f>
        <v>0.5</v>
      </c>
      <c r="P1163" s="117" t="s">
        <v>112</v>
      </c>
      <c r="Q1163" s="163">
        <f t="shared" si="552"/>
        <v>2.6141439999999996</v>
      </c>
      <c r="R1163" s="161">
        <v>1</v>
      </c>
      <c r="S1163" s="163">
        <f t="shared" si="553"/>
        <v>3.6141439999999996</v>
      </c>
      <c r="T1163" s="165" t="s">
        <v>48</v>
      </c>
    </row>
    <row r="1164" spans="3:20" ht="20.25" customHeight="1">
      <c r="C1164" s="109">
        <f>D1164</f>
        <v>1164</v>
      </c>
      <c r="D1164" s="115">
        <f t="shared" si="507"/>
        <v>1164</v>
      </c>
      <c r="E1164" s="116" t="s">
        <v>542</v>
      </c>
      <c r="F1164" s="121">
        <f>D1158</f>
        <v>1158</v>
      </c>
      <c r="G1164" s="118"/>
      <c r="H1164" s="118"/>
      <c r="I1164" s="117"/>
      <c r="J1164" s="117"/>
      <c r="K1164" s="131"/>
      <c r="L1164" s="131"/>
      <c r="M1164" s="132"/>
      <c r="N1164" s="117"/>
      <c r="O1164" s="133"/>
      <c r="P1164" s="117"/>
      <c r="Q1164" s="163"/>
      <c r="R1164" s="161"/>
      <c r="S1164" s="163"/>
      <c r="T1164" s="162"/>
    </row>
    <row r="1165" spans="3:20" ht="20.25" customHeight="1">
      <c r="C1165" s="109"/>
      <c r="D1165" s="115">
        <f t="shared" si="507"/>
        <v>1165</v>
      </c>
      <c r="E1165" s="119" t="s">
        <v>543</v>
      </c>
      <c r="F1165" s="121">
        <f t="shared" ref="F1165:F1168" si="556">D1164</f>
        <v>1164</v>
      </c>
      <c r="G1165" s="118" t="s">
        <v>52</v>
      </c>
      <c r="H1165" s="118"/>
      <c r="I1165" s="117">
        <v>18</v>
      </c>
      <c r="J1165" s="121" t="str">
        <f>J1163</f>
        <v>1664 mm id</v>
      </c>
      <c r="K1165" s="131">
        <v>1</v>
      </c>
      <c r="L1165" s="131" t="s">
        <v>81</v>
      </c>
      <c r="M1165" s="141">
        <f t="shared" ref="M1165:M1168" si="557">LEFT(J1165,SEARCH(" ",J1165,1)-1)*K1165*3.142/1000</f>
        <v>5.2282879999999992</v>
      </c>
      <c r="N1165" s="117" t="s">
        <v>139</v>
      </c>
      <c r="O1165" s="175">
        <f>VLOOKUP(I1165,BM!$A$2:$X$104,10,FALSE)</f>
        <v>1</v>
      </c>
      <c r="P1165" s="117" t="s">
        <v>112</v>
      </c>
      <c r="Q1165" s="163">
        <f t="shared" ref="Q1165:Q1168" si="558">M1165*O1165</f>
        <v>5.2282879999999992</v>
      </c>
      <c r="R1165" s="161">
        <v>1</v>
      </c>
      <c r="S1165" s="163">
        <f t="shared" ref="S1165:S1168" si="559">Q1165+R1165</f>
        <v>6.2282879999999992</v>
      </c>
      <c r="T1165" s="165" t="s">
        <v>48</v>
      </c>
    </row>
    <row r="1166" spans="3:20" ht="20.25" customHeight="1">
      <c r="C1166" s="109"/>
      <c r="D1166" s="115">
        <f t="shared" si="507"/>
        <v>1166</v>
      </c>
      <c r="E1166" s="119" t="s">
        <v>544</v>
      </c>
      <c r="F1166" s="121">
        <f t="shared" si="556"/>
        <v>1165</v>
      </c>
      <c r="G1166" s="118" t="s">
        <v>44</v>
      </c>
      <c r="H1166" s="118"/>
      <c r="I1166" s="117">
        <v>18</v>
      </c>
      <c r="J1166" s="121" t="str">
        <f t="shared" ref="J1166:J1168" si="560">J1165</f>
        <v>1664 mm id</v>
      </c>
      <c r="K1166" s="131">
        <v>1</v>
      </c>
      <c r="L1166" s="131" t="s">
        <v>81</v>
      </c>
      <c r="M1166" s="141">
        <f t="shared" si="557"/>
        <v>5.2282879999999992</v>
      </c>
      <c r="N1166" s="117" t="s">
        <v>139</v>
      </c>
      <c r="O1166" s="175">
        <f>VLOOKUP(I1166,BM!$A$2:$X$104,16,FALSE)</f>
        <v>1</v>
      </c>
      <c r="P1166" s="117" t="s">
        <v>112</v>
      </c>
      <c r="Q1166" s="163">
        <f t="shared" si="558"/>
        <v>5.2282879999999992</v>
      </c>
      <c r="R1166" s="161">
        <v>1</v>
      </c>
      <c r="S1166" s="163">
        <f t="shared" si="559"/>
        <v>6.2282879999999992</v>
      </c>
      <c r="T1166" s="165" t="s">
        <v>48</v>
      </c>
    </row>
    <row r="1167" spans="3:20" ht="20.25" customHeight="1">
      <c r="C1167" s="109"/>
      <c r="D1167" s="115">
        <f t="shared" si="507"/>
        <v>1167</v>
      </c>
      <c r="E1167" s="119" t="s">
        <v>545</v>
      </c>
      <c r="F1167" s="121">
        <f t="shared" si="556"/>
        <v>1166</v>
      </c>
      <c r="G1167" s="118" t="s">
        <v>111</v>
      </c>
      <c r="H1167" s="118"/>
      <c r="I1167" s="117">
        <v>18</v>
      </c>
      <c r="J1167" s="121" t="str">
        <f t="shared" si="560"/>
        <v>1664 mm id</v>
      </c>
      <c r="K1167" s="131">
        <v>1</v>
      </c>
      <c r="L1167" s="131" t="s">
        <v>81</v>
      </c>
      <c r="M1167" s="141">
        <f t="shared" si="557"/>
        <v>5.2282879999999992</v>
      </c>
      <c r="N1167" s="117" t="s">
        <v>139</v>
      </c>
      <c r="O1167" s="133">
        <v>4</v>
      </c>
      <c r="P1167" s="117" t="s">
        <v>112</v>
      </c>
      <c r="Q1167" s="163">
        <f t="shared" si="558"/>
        <v>20.913151999999997</v>
      </c>
      <c r="R1167" s="161">
        <v>1</v>
      </c>
      <c r="S1167" s="163">
        <f t="shared" si="559"/>
        <v>21.913151999999997</v>
      </c>
      <c r="T1167" s="165" t="s">
        <v>48</v>
      </c>
    </row>
    <row r="1168" spans="3:20" ht="20.25" customHeight="1">
      <c r="C1168" s="109"/>
      <c r="D1168" s="115">
        <f t="shared" si="507"/>
        <v>1168</v>
      </c>
      <c r="E1168" s="119" t="s">
        <v>546</v>
      </c>
      <c r="F1168" s="121">
        <f t="shared" si="556"/>
        <v>1167</v>
      </c>
      <c r="G1168" s="118" t="s">
        <v>63</v>
      </c>
      <c r="H1168" s="118"/>
      <c r="I1168" s="117">
        <v>18</v>
      </c>
      <c r="J1168" s="121" t="str">
        <f t="shared" si="560"/>
        <v>1664 mm id</v>
      </c>
      <c r="K1168" s="131">
        <v>1</v>
      </c>
      <c r="L1168" s="131" t="s">
        <v>81</v>
      </c>
      <c r="M1168" s="141">
        <f t="shared" si="557"/>
        <v>5.2282879999999992</v>
      </c>
      <c r="N1168" s="117" t="s">
        <v>39</v>
      </c>
      <c r="O1168" s="133">
        <v>3.5</v>
      </c>
      <c r="P1168" s="117" t="s">
        <v>112</v>
      </c>
      <c r="Q1168" s="163">
        <f t="shared" si="558"/>
        <v>18.299007999999997</v>
      </c>
      <c r="R1168" s="161">
        <v>1</v>
      </c>
      <c r="S1168" s="163">
        <f t="shared" si="559"/>
        <v>19.299007999999997</v>
      </c>
      <c r="T1168" s="165" t="s">
        <v>48</v>
      </c>
    </row>
    <row r="1169" spans="3:20" ht="20.25" customHeight="1">
      <c r="C1169" s="109">
        <f>D1169</f>
        <v>1169</v>
      </c>
      <c r="D1169" s="115">
        <f t="shared" si="507"/>
        <v>1169</v>
      </c>
      <c r="E1169" s="116" t="s">
        <v>547</v>
      </c>
      <c r="F1169" s="121">
        <f>D1164</f>
        <v>1164</v>
      </c>
      <c r="G1169" s="118"/>
      <c r="H1169" s="118"/>
      <c r="I1169" s="117"/>
      <c r="J1169" s="117"/>
      <c r="K1169" s="131"/>
      <c r="L1169" s="131"/>
      <c r="M1169" s="132"/>
      <c r="N1169" s="117"/>
      <c r="O1169" s="133"/>
      <c r="P1169" s="117"/>
      <c r="Q1169" s="163"/>
      <c r="R1169" s="161"/>
      <c r="S1169" s="163"/>
      <c r="T1169" s="162"/>
    </row>
    <row r="1170" spans="3:20" ht="20.25" customHeight="1">
      <c r="C1170" s="109"/>
      <c r="D1170" s="115">
        <f t="shared" si="507"/>
        <v>1170</v>
      </c>
      <c r="E1170" s="119" t="s">
        <v>548</v>
      </c>
      <c r="F1170" s="121">
        <f t="shared" ref="F1170:F1174" si="561">D1169</f>
        <v>1169</v>
      </c>
      <c r="G1170" s="118" t="s">
        <v>201</v>
      </c>
      <c r="H1170" s="118"/>
      <c r="I1170" s="117">
        <v>12</v>
      </c>
      <c r="J1170" s="121" t="str">
        <f>J1168</f>
        <v>1664 mm id</v>
      </c>
      <c r="K1170" s="131">
        <v>1</v>
      </c>
      <c r="L1170" s="131" t="s">
        <v>81</v>
      </c>
      <c r="M1170" s="132">
        <v>1</v>
      </c>
      <c r="N1170" s="117" t="s">
        <v>249</v>
      </c>
      <c r="O1170" s="133">
        <v>1</v>
      </c>
      <c r="P1170" s="117" t="s">
        <v>112</v>
      </c>
      <c r="Q1170" s="163">
        <f t="shared" ref="Q1170:Q1174" si="562">M1170*O1170</f>
        <v>1</v>
      </c>
      <c r="R1170" s="161">
        <v>1</v>
      </c>
      <c r="S1170" s="163">
        <f t="shared" ref="S1170:S1174" si="563">Q1170+R1170</f>
        <v>2</v>
      </c>
      <c r="T1170" s="165" t="s">
        <v>48</v>
      </c>
    </row>
    <row r="1171" spans="3:20" ht="20.25" customHeight="1">
      <c r="C1171" s="109"/>
      <c r="D1171" s="115">
        <f t="shared" ref="D1171:D1234" si="564">D1170+1</f>
        <v>1171</v>
      </c>
      <c r="E1171" s="119" t="s">
        <v>549</v>
      </c>
      <c r="F1171" s="121">
        <f t="shared" si="561"/>
        <v>1170</v>
      </c>
      <c r="G1171" s="118" t="s">
        <v>115</v>
      </c>
      <c r="H1171" s="118"/>
      <c r="I1171" s="117">
        <v>12</v>
      </c>
      <c r="J1171" s="121" t="str">
        <f t="shared" ref="J1171:J1174" si="565">J1170</f>
        <v>1664 mm id</v>
      </c>
      <c r="K1171" s="131">
        <v>1</v>
      </c>
      <c r="L1171" s="131" t="s">
        <v>81</v>
      </c>
      <c r="M1171" s="141">
        <f t="shared" ref="M1171:M1174" si="566">LEFT(J1171,SEARCH(" ",J1171,1)-1)*K1171*3.142/1000</f>
        <v>5.2282879999999992</v>
      </c>
      <c r="N1171" s="117" t="s">
        <v>249</v>
      </c>
      <c r="O1171" s="175">
        <f>VLOOKUP(I1171,BM!$A$2:$X$104,17,FALSE)</f>
        <v>2.5</v>
      </c>
      <c r="P1171" s="117" t="s">
        <v>112</v>
      </c>
      <c r="Q1171" s="163">
        <f t="shared" si="562"/>
        <v>13.070719999999998</v>
      </c>
      <c r="R1171" s="161">
        <v>1</v>
      </c>
      <c r="S1171" s="163">
        <f t="shared" si="563"/>
        <v>14.070719999999998</v>
      </c>
      <c r="T1171" s="165" t="s">
        <v>48</v>
      </c>
    </row>
    <row r="1172" spans="3:20" ht="20.25" customHeight="1">
      <c r="C1172" s="109"/>
      <c r="D1172" s="115">
        <f t="shared" si="564"/>
        <v>1172</v>
      </c>
      <c r="E1172" s="119" t="s">
        <v>550</v>
      </c>
      <c r="F1172" s="121">
        <f t="shared" si="561"/>
        <v>1171</v>
      </c>
      <c r="G1172" s="118" t="s">
        <v>61</v>
      </c>
      <c r="H1172" s="118"/>
      <c r="I1172" s="117">
        <v>18</v>
      </c>
      <c r="J1172" s="121" t="str">
        <f t="shared" si="565"/>
        <v>1664 mm id</v>
      </c>
      <c r="K1172" s="131">
        <v>1</v>
      </c>
      <c r="L1172" s="131" t="s">
        <v>81</v>
      </c>
      <c r="M1172" s="141">
        <f t="shared" si="566"/>
        <v>5.2282879999999992</v>
      </c>
      <c r="N1172" s="117" t="s">
        <v>249</v>
      </c>
      <c r="O1172" s="175">
        <f>VLOOKUP(I1172,BM!$A$2:$X$104,18,FALSE)</f>
        <v>1</v>
      </c>
      <c r="P1172" s="117" t="s">
        <v>112</v>
      </c>
      <c r="Q1172" s="163">
        <f t="shared" si="562"/>
        <v>5.2282879999999992</v>
      </c>
      <c r="R1172" s="161">
        <v>1</v>
      </c>
      <c r="S1172" s="163">
        <f t="shared" si="563"/>
        <v>6.2282879999999992</v>
      </c>
      <c r="T1172" s="165" t="s">
        <v>48</v>
      </c>
    </row>
    <row r="1173" spans="3:20" ht="20.25" customHeight="1">
      <c r="C1173" s="109"/>
      <c r="D1173" s="115">
        <f t="shared" si="564"/>
        <v>1173</v>
      </c>
      <c r="E1173" s="119" t="s">
        <v>551</v>
      </c>
      <c r="F1173" s="121">
        <f t="shared" si="561"/>
        <v>1172</v>
      </c>
      <c r="G1173" s="118" t="s">
        <v>115</v>
      </c>
      <c r="H1173" s="118"/>
      <c r="I1173" s="117">
        <v>6</v>
      </c>
      <c r="J1173" s="121" t="str">
        <f t="shared" si="565"/>
        <v>1664 mm id</v>
      </c>
      <c r="K1173" s="131">
        <v>1</v>
      </c>
      <c r="L1173" s="131" t="s">
        <v>81</v>
      </c>
      <c r="M1173" s="141">
        <f t="shared" si="566"/>
        <v>5.2282879999999992</v>
      </c>
      <c r="N1173" s="117" t="s">
        <v>249</v>
      </c>
      <c r="O1173" s="175">
        <f>VLOOKUP(I1173,BM!$A$2:$X$104,17,FALSE)</f>
        <v>0.9</v>
      </c>
      <c r="P1173" s="117" t="s">
        <v>112</v>
      </c>
      <c r="Q1173" s="163">
        <f t="shared" si="562"/>
        <v>4.7054591999999991</v>
      </c>
      <c r="R1173" s="161">
        <v>1</v>
      </c>
      <c r="S1173" s="163">
        <f t="shared" si="563"/>
        <v>5.7054591999999991</v>
      </c>
      <c r="T1173" s="165" t="s">
        <v>48</v>
      </c>
    </row>
    <row r="1174" spans="3:20" ht="20.25" customHeight="1">
      <c r="C1174" s="109"/>
      <c r="D1174" s="115">
        <f t="shared" si="564"/>
        <v>1174</v>
      </c>
      <c r="E1174" s="119" t="s">
        <v>552</v>
      </c>
      <c r="F1174" s="121">
        <f t="shared" si="561"/>
        <v>1173</v>
      </c>
      <c r="G1174" s="118" t="s">
        <v>61</v>
      </c>
      <c r="H1174" s="118"/>
      <c r="I1174" s="117">
        <v>18</v>
      </c>
      <c r="J1174" s="121" t="str">
        <f t="shared" si="565"/>
        <v>1664 mm id</v>
      </c>
      <c r="K1174" s="131">
        <v>1</v>
      </c>
      <c r="L1174" s="131" t="s">
        <v>81</v>
      </c>
      <c r="M1174" s="141">
        <f t="shared" si="566"/>
        <v>5.2282879999999992</v>
      </c>
      <c r="N1174" s="117" t="s">
        <v>249</v>
      </c>
      <c r="O1174" s="175">
        <f>VLOOKUP(I1174,BM!$A$2:$X$104,20,FALSE)</f>
        <v>0.5</v>
      </c>
      <c r="P1174" s="117" t="s">
        <v>112</v>
      </c>
      <c r="Q1174" s="163">
        <f t="shared" si="562"/>
        <v>2.6141439999999996</v>
      </c>
      <c r="R1174" s="161">
        <v>1</v>
      </c>
      <c r="S1174" s="163">
        <f t="shared" si="563"/>
        <v>3.6141439999999996</v>
      </c>
      <c r="T1174" s="165" t="s">
        <v>48</v>
      </c>
    </row>
    <row r="1175" spans="3:20" ht="20.25" customHeight="1">
      <c r="C1175" s="109">
        <f>D1175</f>
        <v>1175</v>
      </c>
      <c r="D1175" s="115">
        <f t="shared" si="564"/>
        <v>1175</v>
      </c>
      <c r="E1175" s="116" t="s">
        <v>553</v>
      </c>
      <c r="F1175" s="121">
        <f>D1169</f>
        <v>1169</v>
      </c>
      <c r="G1175" s="118"/>
      <c r="H1175" s="118"/>
      <c r="I1175" s="117"/>
      <c r="J1175" s="117"/>
      <c r="K1175" s="131"/>
      <c r="L1175" s="131"/>
      <c r="M1175" s="132"/>
      <c r="N1175" s="117"/>
      <c r="O1175" s="133"/>
      <c r="P1175" s="117"/>
      <c r="Q1175" s="163"/>
      <c r="R1175" s="161"/>
      <c r="S1175" s="163"/>
      <c r="T1175" s="162"/>
    </row>
    <row r="1176" spans="3:20" ht="20.25" customHeight="1">
      <c r="C1176" s="109"/>
      <c r="D1176" s="115">
        <f t="shared" si="564"/>
        <v>1176</v>
      </c>
      <c r="E1176" s="119" t="s">
        <v>554</v>
      </c>
      <c r="F1176" s="121">
        <f t="shared" ref="F1176" si="567">D1175</f>
        <v>1175</v>
      </c>
      <c r="G1176" s="118" t="s">
        <v>312</v>
      </c>
      <c r="H1176" s="118"/>
      <c r="I1176" s="121">
        <f>I1174</f>
        <v>18</v>
      </c>
      <c r="J1176" s="121" t="str">
        <f t="shared" ref="J1176:L1176" si="568">J1174</f>
        <v>1664 mm id</v>
      </c>
      <c r="K1176" s="177">
        <f t="shared" si="568"/>
        <v>1</v>
      </c>
      <c r="L1176" s="177" t="str">
        <f t="shared" si="568"/>
        <v>Nos</v>
      </c>
      <c r="M1176" s="117">
        <v>1</v>
      </c>
      <c r="N1176" s="117" t="s">
        <v>39</v>
      </c>
      <c r="O1176" s="133">
        <v>1</v>
      </c>
      <c r="P1176" s="117" t="s">
        <v>41</v>
      </c>
      <c r="Q1176" s="163">
        <f t="shared" ref="Q1176" si="569">M1176*O1176</f>
        <v>1</v>
      </c>
      <c r="R1176" s="121"/>
      <c r="S1176" s="163">
        <f t="shared" ref="S1176" si="570">Q1176+R1176</f>
        <v>1</v>
      </c>
      <c r="T1176" s="165" t="s">
        <v>41</v>
      </c>
    </row>
    <row r="1177" spans="3:20" ht="20.25" customHeight="1">
      <c r="C1177" s="109">
        <f>D1177</f>
        <v>1177</v>
      </c>
      <c r="D1177" s="115">
        <f t="shared" si="564"/>
        <v>1177</v>
      </c>
      <c r="E1177" s="116" t="s">
        <v>555</v>
      </c>
      <c r="F1177" s="121">
        <f>D1175</f>
        <v>1175</v>
      </c>
      <c r="G1177" s="118"/>
      <c r="H1177" s="118"/>
      <c r="I1177" s="117"/>
      <c r="J1177" s="117"/>
      <c r="K1177" s="131"/>
      <c r="L1177" s="131"/>
      <c r="M1177" s="132"/>
      <c r="N1177" s="117"/>
      <c r="O1177" s="133"/>
      <c r="P1177" s="117"/>
      <c r="Q1177" s="163"/>
      <c r="R1177" s="161"/>
      <c r="S1177" s="163"/>
      <c r="T1177" s="162"/>
    </row>
    <row r="1178" spans="3:20" ht="20.25" customHeight="1">
      <c r="C1178" s="109"/>
      <c r="D1178" s="115">
        <f t="shared" si="564"/>
        <v>1178</v>
      </c>
      <c r="E1178" s="119" t="s">
        <v>556</v>
      </c>
      <c r="F1178" s="121">
        <f t="shared" ref="F1178:F1179" si="571">D1177</f>
        <v>1177</v>
      </c>
      <c r="G1178" s="118" t="s">
        <v>44</v>
      </c>
      <c r="H1178" s="118"/>
      <c r="I1178" s="117">
        <v>20</v>
      </c>
      <c r="J1178" s="121" t="str">
        <f>J1176</f>
        <v>1664 mm id</v>
      </c>
      <c r="K1178" s="131">
        <v>1</v>
      </c>
      <c r="L1178" s="131" t="s">
        <v>81</v>
      </c>
      <c r="M1178" s="132">
        <v>1</v>
      </c>
      <c r="N1178" s="117" t="s">
        <v>81</v>
      </c>
      <c r="O1178" s="133">
        <v>3</v>
      </c>
      <c r="P1178" s="117" t="s">
        <v>112</v>
      </c>
      <c r="Q1178" s="163">
        <f t="shared" ref="Q1178:Q1179" si="572">M1178*O1178</f>
        <v>3</v>
      </c>
      <c r="R1178" s="161">
        <v>1</v>
      </c>
      <c r="S1178" s="163">
        <f t="shared" ref="S1178:S1179" si="573">Q1178+R1178</f>
        <v>4</v>
      </c>
      <c r="T1178" s="165" t="s">
        <v>48</v>
      </c>
    </row>
    <row r="1179" spans="3:20" ht="20.25" customHeight="1">
      <c r="C1179" s="109"/>
      <c r="D1179" s="115">
        <f t="shared" si="564"/>
        <v>1179</v>
      </c>
      <c r="E1179" s="119" t="s">
        <v>557</v>
      </c>
      <c r="F1179" s="121">
        <f t="shared" si="571"/>
        <v>1178</v>
      </c>
      <c r="G1179" s="118" t="s">
        <v>44</v>
      </c>
      <c r="H1179" s="118"/>
      <c r="I1179" s="117">
        <v>20</v>
      </c>
      <c r="J1179" s="121" t="str">
        <f>J1178</f>
        <v>1664 mm id</v>
      </c>
      <c r="K1179" s="131">
        <v>1</v>
      </c>
      <c r="L1179" s="131" t="s">
        <v>81</v>
      </c>
      <c r="M1179" s="132">
        <v>1</v>
      </c>
      <c r="N1179" s="117" t="s">
        <v>81</v>
      </c>
      <c r="O1179" s="133">
        <v>1</v>
      </c>
      <c r="P1179" s="117" t="s">
        <v>112</v>
      </c>
      <c r="Q1179" s="163">
        <f t="shared" si="572"/>
        <v>1</v>
      </c>
      <c r="R1179" s="161">
        <v>1</v>
      </c>
      <c r="S1179" s="163">
        <f t="shared" si="573"/>
        <v>2</v>
      </c>
      <c r="T1179" s="165" t="s">
        <v>48</v>
      </c>
    </row>
    <row r="1180" spans="3:20" ht="20.25" customHeight="1">
      <c r="C1180" s="109">
        <f>D1180</f>
        <v>1180</v>
      </c>
      <c r="D1180" s="115">
        <f t="shared" si="564"/>
        <v>1180</v>
      </c>
      <c r="E1180" s="116" t="s">
        <v>774</v>
      </c>
      <c r="F1180" s="121">
        <f>D1177</f>
        <v>1177</v>
      </c>
      <c r="G1180" s="118"/>
      <c r="H1180" s="118"/>
      <c r="I1180" s="117"/>
      <c r="J1180" s="117"/>
      <c r="K1180" s="131"/>
      <c r="L1180" s="131"/>
      <c r="M1180" s="132"/>
      <c r="N1180" s="117"/>
      <c r="O1180" s="133"/>
      <c r="P1180" s="117"/>
      <c r="Q1180" s="163"/>
      <c r="R1180" s="161"/>
      <c r="S1180" s="163"/>
      <c r="T1180" s="165"/>
    </row>
    <row r="1181" spans="3:20" ht="20.25" customHeight="1">
      <c r="C1181" s="109"/>
      <c r="D1181" s="115">
        <f t="shared" si="564"/>
        <v>1181</v>
      </c>
      <c r="E1181" s="119" t="s">
        <v>559</v>
      </c>
      <c r="F1181" s="121">
        <f t="shared" ref="F1181:F1182" si="574">D1180</f>
        <v>1180</v>
      </c>
      <c r="G1181" s="118" t="s">
        <v>52</v>
      </c>
      <c r="H1181" s="118"/>
      <c r="I1181" s="117"/>
      <c r="J1181" s="117" t="s">
        <v>560</v>
      </c>
      <c r="K1181" s="131">
        <v>1</v>
      </c>
      <c r="L1181" s="131" t="s">
        <v>39</v>
      </c>
      <c r="M1181" s="132">
        <v>1</v>
      </c>
      <c r="N1181" s="117" t="s">
        <v>81</v>
      </c>
      <c r="O1181" s="133">
        <v>3</v>
      </c>
      <c r="P1181" s="117" t="s">
        <v>112</v>
      </c>
      <c r="Q1181" s="163">
        <f t="shared" ref="Q1181:Q1182" si="575">M1181*O1181</f>
        <v>3</v>
      </c>
      <c r="R1181" s="161">
        <v>1</v>
      </c>
      <c r="S1181" s="163">
        <f t="shared" ref="S1181:S1182" si="576">Q1181+R1181</f>
        <v>4</v>
      </c>
      <c r="T1181" s="165" t="s">
        <v>48</v>
      </c>
    </row>
    <row r="1182" spans="3:20" ht="20.25" customHeight="1">
      <c r="C1182" s="109"/>
      <c r="D1182" s="115">
        <f t="shared" si="564"/>
        <v>1182</v>
      </c>
      <c r="E1182" s="119" t="s">
        <v>559</v>
      </c>
      <c r="F1182" s="121">
        <f t="shared" si="574"/>
        <v>1181</v>
      </c>
      <c r="G1182" s="118" t="s">
        <v>52</v>
      </c>
      <c r="H1182" s="118"/>
      <c r="I1182" s="117"/>
      <c r="J1182" s="117" t="s">
        <v>560</v>
      </c>
      <c r="K1182" s="131">
        <v>1</v>
      </c>
      <c r="L1182" s="131" t="s">
        <v>39</v>
      </c>
      <c r="M1182" s="132">
        <v>1</v>
      </c>
      <c r="N1182" s="117" t="s">
        <v>81</v>
      </c>
      <c r="O1182" s="133">
        <v>3</v>
      </c>
      <c r="P1182" s="117" t="s">
        <v>112</v>
      </c>
      <c r="Q1182" s="163">
        <f t="shared" si="575"/>
        <v>3</v>
      </c>
      <c r="R1182" s="161">
        <v>1</v>
      </c>
      <c r="S1182" s="163">
        <f t="shared" si="576"/>
        <v>4</v>
      </c>
      <c r="T1182" s="165" t="s">
        <v>48</v>
      </c>
    </row>
    <row r="1183" spans="3:20" ht="20.25" customHeight="1">
      <c r="C1183" s="109">
        <f>D1183</f>
        <v>1183</v>
      </c>
      <c r="D1183" s="115">
        <f t="shared" si="564"/>
        <v>1183</v>
      </c>
      <c r="E1183" s="116" t="s">
        <v>561</v>
      </c>
      <c r="F1183" s="121">
        <f>D1180</f>
        <v>1180</v>
      </c>
      <c r="G1183" s="118"/>
      <c r="H1183" s="118"/>
      <c r="I1183" s="117"/>
      <c r="J1183" s="117"/>
      <c r="K1183" s="131"/>
      <c r="L1183" s="131"/>
      <c r="M1183" s="132"/>
      <c r="N1183" s="117"/>
      <c r="O1183" s="133"/>
      <c r="P1183" s="117"/>
      <c r="Q1183" s="163"/>
      <c r="R1183" s="161"/>
      <c r="S1183" s="163"/>
      <c r="T1183" s="165"/>
    </row>
    <row r="1184" spans="3:20" ht="20.25" customHeight="1">
      <c r="C1184" s="109"/>
      <c r="D1184" s="115">
        <f t="shared" si="564"/>
        <v>1184</v>
      </c>
      <c r="E1184" s="119" t="s">
        <v>559</v>
      </c>
      <c r="F1184" s="121">
        <f t="shared" ref="F1184:F1185" si="577">D1183</f>
        <v>1183</v>
      </c>
      <c r="G1184" s="118" t="s">
        <v>121</v>
      </c>
      <c r="H1184" s="118"/>
      <c r="I1184" s="117"/>
      <c r="J1184" s="117" t="s">
        <v>560</v>
      </c>
      <c r="K1184" s="131">
        <v>1</v>
      </c>
      <c r="L1184" s="131" t="s">
        <v>39</v>
      </c>
      <c r="M1184" s="132">
        <v>1</v>
      </c>
      <c r="N1184" s="117" t="s">
        <v>81</v>
      </c>
      <c r="O1184" s="133">
        <v>2</v>
      </c>
      <c r="P1184" s="117" t="s">
        <v>112</v>
      </c>
      <c r="Q1184" s="163">
        <f t="shared" ref="Q1184:Q1185" si="578">M1184*O1184</f>
        <v>2</v>
      </c>
      <c r="R1184" s="161">
        <v>1</v>
      </c>
      <c r="S1184" s="163">
        <f t="shared" ref="S1184:S1185" si="579">Q1184+R1184</f>
        <v>3</v>
      </c>
      <c r="T1184" s="165" t="s">
        <v>48</v>
      </c>
    </row>
    <row r="1185" spans="3:20" ht="20.25" customHeight="1">
      <c r="C1185" s="109"/>
      <c r="D1185" s="115">
        <f t="shared" si="564"/>
        <v>1185</v>
      </c>
      <c r="E1185" s="119" t="s">
        <v>559</v>
      </c>
      <c r="F1185" s="121">
        <f t="shared" si="577"/>
        <v>1184</v>
      </c>
      <c r="G1185" s="118" t="s">
        <v>121</v>
      </c>
      <c r="H1185" s="118"/>
      <c r="I1185" s="117"/>
      <c r="J1185" s="117" t="s">
        <v>560</v>
      </c>
      <c r="K1185" s="131">
        <v>1</v>
      </c>
      <c r="L1185" s="131" t="s">
        <v>39</v>
      </c>
      <c r="M1185" s="132">
        <v>1</v>
      </c>
      <c r="N1185" s="117" t="s">
        <v>81</v>
      </c>
      <c r="O1185" s="133">
        <v>2</v>
      </c>
      <c r="P1185" s="117" t="s">
        <v>112</v>
      </c>
      <c r="Q1185" s="163">
        <f t="shared" si="578"/>
        <v>2</v>
      </c>
      <c r="R1185" s="161">
        <v>1</v>
      </c>
      <c r="S1185" s="163">
        <f t="shared" si="579"/>
        <v>3</v>
      </c>
      <c r="T1185" s="165" t="s">
        <v>48</v>
      </c>
    </row>
    <row r="1186" spans="3:20" ht="20.25" customHeight="1">
      <c r="C1186" s="109">
        <f>D1186</f>
        <v>1186</v>
      </c>
      <c r="D1186" s="115">
        <f t="shared" si="564"/>
        <v>1186</v>
      </c>
      <c r="E1186" s="116" t="s">
        <v>562</v>
      </c>
      <c r="F1186" s="121">
        <f>D1183</f>
        <v>1183</v>
      </c>
      <c r="G1186" s="118"/>
      <c r="H1186" s="118"/>
      <c r="I1186" s="117"/>
      <c r="J1186" s="117"/>
      <c r="K1186" s="131"/>
      <c r="L1186" s="131"/>
      <c r="M1186" s="132"/>
      <c r="N1186" s="117"/>
      <c r="O1186" s="133"/>
      <c r="P1186" s="117"/>
      <c r="Q1186" s="163"/>
      <c r="R1186" s="161"/>
      <c r="S1186" s="163"/>
      <c r="T1186" s="165"/>
    </row>
    <row r="1187" spans="3:20" ht="20.25" customHeight="1">
      <c r="C1187" s="109"/>
      <c r="D1187" s="115">
        <f t="shared" si="564"/>
        <v>1187</v>
      </c>
      <c r="E1187" s="119" t="s">
        <v>563</v>
      </c>
      <c r="F1187" s="121">
        <f t="shared" ref="F1187:F1188" si="580">D1186</f>
        <v>1186</v>
      </c>
      <c r="G1187" s="118" t="s">
        <v>111</v>
      </c>
      <c r="H1187" s="118"/>
      <c r="I1187" s="117"/>
      <c r="J1187" s="117" t="s">
        <v>560</v>
      </c>
      <c r="K1187" s="131">
        <v>1</v>
      </c>
      <c r="L1187" s="131" t="s">
        <v>564</v>
      </c>
      <c r="M1187" s="132">
        <v>1</v>
      </c>
      <c r="N1187" s="117" t="s">
        <v>81</v>
      </c>
      <c r="O1187" s="175">
        <f>VLOOKUP(J1187,BM!$A$2:$X$104,11,FALSE)</f>
        <v>1</v>
      </c>
      <c r="P1187" s="117" t="s">
        <v>112</v>
      </c>
      <c r="Q1187" s="163">
        <f t="shared" ref="Q1187:Q1188" si="581">M1187*O1187</f>
        <v>1</v>
      </c>
      <c r="R1187" s="161">
        <v>1</v>
      </c>
      <c r="S1187" s="163">
        <f t="shared" ref="S1187:S1188" si="582">Q1187+R1187</f>
        <v>2</v>
      </c>
      <c r="T1187" s="165" t="s">
        <v>48</v>
      </c>
    </row>
    <row r="1188" spans="3:20" ht="20.25" customHeight="1">
      <c r="C1188" s="109"/>
      <c r="D1188" s="115">
        <f t="shared" si="564"/>
        <v>1188</v>
      </c>
      <c r="E1188" s="119" t="s">
        <v>565</v>
      </c>
      <c r="F1188" s="121">
        <f t="shared" si="580"/>
        <v>1187</v>
      </c>
      <c r="G1188" s="118" t="s">
        <v>111</v>
      </c>
      <c r="H1188" s="118"/>
      <c r="I1188" s="117"/>
      <c r="J1188" s="121" t="str">
        <f>J1187</f>
        <v>40NB</v>
      </c>
      <c r="K1188" s="131">
        <v>1</v>
      </c>
      <c r="L1188" s="131" t="s">
        <v>564</v>
      </c>
      <c r="M1188" s="132">
        <v>1</v>
      </c>
      <c r="N1188" s="117" t="s">
        <v>81</v>
      </c>
      <c r="O1188" s="175">
        <f>VLOOKUP(J1188,BM!$A$2:$X$104,11,FALSE)</f>
        <v>1</v>
      </c>
      <c r="P1188" s="117" t="s">
        <v>112</v>
      </c>
      <c r="Q1188" s="163">
        <f t="shared" si="581"/>
        <v>1</v>
      </c>
      <c r="R1188" s="161">
        <v>1</v>
      </c>
      <c r="S1188" s="163">
        <f t="shared" si="582"/>
        <v>2</v>
      </c>
      <c r="T1188" s="165" t="s">
        <v>48</v>
      </c>
    </row>
    <row r="1189" spans="3:20" ht="20.25" customHeight="1">
      <c r="C1189" s="109">
        <f>D1189</f>
        <v>1189</v>
      </c>
      <c r="D1189" s="115">
        <f t="shared" si="564"/>
        <v>1189</v>
      </c>
      <c r="E1189" s="116" t="s">
        <v>566</v>
      </c>
      <c r="F1189" s="121">
        <f>D1186</f>
        <v>1186</v>
      </c>
      <c r="G1189" s="118"/>
      <c r="H1189" s="118"/>
      <c r="I1189" s="117"/>
      <c r="J1189" s="117"/>
      <c r="K1189" s="131"/>
      <c r="L1189" s="131"/>
      <c r="M1189" s="132"/>
      <c r="N1189" s="117"/>
      <c r="O1189" s="133"/>
      <c r="P1189" s="117"/>
      <c r="Q1189" s="163"/>
      <c r="R1189" s="161"/>
      <c r="S1189" s="163"/>
      <c r="T1189" s="165"/>
    </row>
    <row r="1190" spans="3:20" ht="20.25" customHeight="1">
      <c r="C1190" s="109"/>
      <c r="D1190" s="115">
        <f t="shared" si="564"/>
        <v>1190</v>
      </c>
      <c r="E1190" s="119" t="s">
        <v>567</v>
      </c>
      <c r="F1190" s="121">
        <f t="shared" ref="F1190:F1191" si="583">D1189</f>
        <v>1189</v>
      </c>
      <c r="G1190" s="118" t="s">
        <v>568</v>
      </c>
      <c r="H1190" s="118"/>
      <c r="I1190" s="117"/>
      <c r="J1190" s="121" t="str">
        <f>J1188</f>
        <v>40NB</v>
      </c>
      <c r="K1190" s="131">
        <v>1</v>
      </c>
      <c r="L1190" s="131" t="s">
        <v>564</v>
      </c>
      <c r="M1190" s="132">
        <v>1</v>
      </c>
      <c r="N1190" s="117" t="s">
        <v>81</v>
      </c>
      <c r="O1190" s="133">
        <v>0.5</v>
      </c>
      <c r="P1190" s="117" t="s">
        <v>112</v>
      </c>
      <c r="Q1190" s="163">
        <f t="shared" ref="Q1190:Q1191" si="584">M1190*O1190</f>
        <v>0.5</v>
      </c>
      <c r="R1190" s="161">
        <v>1</v>
      </c>
      <c r="S1190" s="163">
        <f t="shared" ref="S1190:S1191" si="585">Q1190+R1190</f>
        <v>1.5</v>
      </c>
      <c r="T1190" s="165" t="s">
        <v>48</v>
      </c>
    </row>
    <row r="1191" spans="3:20" ht="20.25" customHeight="1">
      <c r="C1191" s="109"/>
      <c r="D1191" s="115">
        <f t="shared" si="564"/>
        <v>1191</v>
      </c>
      <c r="E1191" s="119" t="s">
        <v>569</v>
      </c>
      <c r="F1191" s="121">
        <f t="shared" si="583"/>
        <v>1190</v>
      </c>
      <c r="G1191" s="118" t="s">
        <v>568</v>
      </c>
      <c r="H1191" s="118"/>
      <c r="I1191" s="117"/>
      <c r="J1191" s="121" t="str">
        <f>J1188</f>
        <v>40NB</v>
      </c>
      <c r="K1191" s="131">
        <v>1</v>
      </c>
      <c r="L1191" s="131" t="s">
        <v>564</v>
      </c>
      <c r="M1191" s="132">
        <v>1</v>
      </c>
      <c r="N1191" s="117" t="s">
        <v>81</v>
      </c>
      <c r="O1191" s="133">
        <v>0.5</v>
      </c>
      <c r="P1191" s="117" t="s">
        <v>112</v>
      </c>
      <c r="Q1191" s="163">
        <f t="shared" si="584"/>
        <v>0.5</v>
      </c>
      <c r="R1191" s="161">
        <v>1</v>
      </c>
      <c r="S1191" s="163">
        <f t="shared" si="585"/>
        <v>1.5</v>
      </c>
      <c r="T1191" s="165" t="s">
        <v>48</v>
      </c>
    </row>
    <row r="1192" spans="3:20" ht="20.25" customHeight="1">
      <c r="C1192" s="109">
        <f>D1192</f>
        <v>1192</v>
      </c>
      <c r="D1192" s="115">
        <f t="shared" si="564"/>
        <v>1192</v>
      </c>
      <c r="E1192" s="116" t="s">
        <v>775</v>
      </c>
      <c r="F1192" s="121">
        <f>D1189</f>
        <v>1189</v>
      </c>
      <c r="G1192" s="118"/>
      <c r="H1192" s="118"/>
      <c r="I1192" s="117"/>
      <c r="J1192" s="117"/>
      <c r="K1192" s="131"/>
      <c r="L1192" s="131"/>
      <c r="M1192" s="132"/>
      <c r="N1192" s="117"/>
      <c r="O1192" s="133"/>
      <c r="P1192" s="117"/>
      <c r="Q1192" s="163"/>
      <c r="R1192" s="161"/>
      <c r="S1192" s="163"/>
      <c r="T1192" s="165"/>
    </row>
    <row r="1193" spans="3:20" ht="20.25" customHeight="1">
      <c r="C1193" s="109"/>
      <c r="D1193" s="115">
        <f t="shared" si="564"/>
        <v>1193</v>
      </c>
      <c r="E1193" s="119" t="s">
        <v>571</v>
      </c>
      <c r="F1193" s="121">
        <f t="shared" ref="F1193:F1198" si="586">D1192</f>
        <v>1192</v>
      </c>
      <c r="G1193" s="118" t="s">
        <v>37</v>
      </c>
      <c r="H1193" s="118"/>
      <c r="I1193" s="117" t="s">
        <v>560</v>
      </c>
      <c r="J1193" s="117" t="str">
        <f>J1191</f>
        <v>40NB</v>
      </c>
      <c r="K1193" s="131">
        <v>1</v>
      </c>
      <c r="L1193" s="131" t="s">
        <v>81</v>
      </c>
      <c r="M1193" s="132">
        <v>1</v>
      </c>
      <c r="N1193" s="117" t="s">
        <v>81</v>
      </c>
      <c r="O1193" s="133">
        <v>0.5</v>
      </c>
      <c r="P1193" s="117" t="s">
        <v>112</v>
      </c>
      <c r="Q1193" s="163">
        <f t="shared" ref="Q1193:Q1198" si="587">M1193*O1193</f>
        <v>0.5</v>
      </c>
      <c r="R1193" s="161">
        <v>1</v>
      </c>
      <c r="S1193" s="163">
        <f t="shared" ref="S1193:S1198" si="588">Q1193+R1193</f>
        <v>1.5</v>
      </c>
      <c r="T1193" s="165" t="s">
        <v>48</v>
      </c>
    </row>
    <row r="1194" spans="3:20" ht="20.25" customHeight="1">
      <c r="C1194" s="109"/>
      <c r="D1194" s="115">
        <f t="shared" si="564"/>
        <v>1194</v>
      </c>
      <c r="E1194" s="119" t="s">
        <v>572</v>
      </c>
      <c r="F1194" s="121">
        <f t="shared" si="586"/>
        <v>1193</v>
      </c>
      <c r="G1194" s="118" t="s">
        <v>115</v>
      </c>
      <c r="H1194" s="118"/>
      <c r="I1194" s="117">
        <v>10</v>
      </c>
      <c r="J1194" s="125" t="s">
        <v>573</v>
      </c>
      <c r="K1194" s="131">
        <v>1</v>
      </c>
      <c r="L1194" s="131" t="s">
        <v>39</v>
      </c>
      <c r="M1194" s="141">
        <f t="shared" ref="M1194:M1195" si="589">LEFT(J1194,SEARCH(" ",J1194,1)-1)*K1194*3.142/1000</f>
        <v>0.23565</v>
      </c>
      <c r="N1194" s="117"/>
      <c r="O1194" s="175">
        <f>VLOOKUP(I1194,BM!$A$2:$X$104,17,FALSE)</f>
        <v>1.88</v>
      </c>
      <c r="P1194" s="117" t="s">
        <v>112</v>
      </c>
      <c r="Q1194" s="163">
        <f t="shared" si="587"/>
        <v>0.44302199999999997</v>
      </c>
      <c r="R1194" s="161">
        <v>1</v>
      </c>
      <c r="S1194" s="163">
        <f t="shared" si="588"/>
        <v>1.443022</v>
      </c>
      <c r="T1194" s="165" t="s">
        <v>48</v>
      </c>
    </row>
    <row r="1195" spans="3:20" ht="20.25" customHeight="1">
      <c r="C1195" s="109"/>
      <c r="D1195" s="115">
        <f t="shared" si="564"/>
        <v>1195</v>
      </c>
      <c r="E1195" s="119" t="s">
        <v>574</v>
      </c>
      <c r="F1195" s="121">
        <f t="shared" si="586"/>
        <v>1194</v>
      </c>
      <c r="G1195" s="118" t="s">
        <v>115</v>
      </c>
      <c r="H1195" s="118"/>
      <c r="I1195" s="117">
        <v>10</v>
      </c>
      <c r="J1195" s="121" t="str">
        <f>J1194</f>
        <v>75 MM</v>
      </c>
      <c r="K1195" s="131">
        <v>1</v>
      </c>
      <c r="L1195" s="131" t="s">
        <v>39</v>
      </c>
      <c r="M1195" s="141">
        <f t="shared" si="589"/>
        <v>0.23565</v>
      </c>
      <c r="N1195" s="117"/>
      <c r="O1195" s="175">
        <f>VLOOKUP(I1195,BM!$A$2:$X$104,17,FALSE)</f>
        <v>1.88</v>
      </c>
      <c r="P1195" s="117" t="s">
        <v>112</v>
      </c>
      <c r="Q1195" s="163">
        <f t="shared" si="587"/>
        <v>0.44302199999999997</v>
      </c>
      <c r="R1195" s="161">
        <v>1</v>
      </c>
      <c r="S1195" s="163">
        <f t="shared" si="588"/>
        <v>1.443022</v>
      </c>
      <c r="T1195" s="165" t="s">
        <v>48</v>
      </c>
    </row>
    <row r="1196" spans="3:20" ht="20.25" customHeight="1">
      <c r="C1196" s="109"/>
      <c r="D1196" s="115">
        <f t="shared" si="564"/>
        <v>1196</v>
      </c>
      <c r="E1196" s="119" t="s">
        <v>575</v>
      </c>
      <c r="F1196" s="121">
        <f t="shared" si="586"/>
        <v>1195</v>
      </c>
      <c r="G1196" s="118" t="s">
        <v>44</v>
      </c>
      <c r="H1196" s="118"/>
      <c r="I1196" s="117"/>
      <c r="J1196" s="121" t="str">
        <f>J1195</f>
        <v>75 MM</v>
      </c>
      <c r="K1196" s="131">
        <v>2</v>
      </c>
      <c r="L1196" s="131" t="s">
        <v>39</v>
      </c>
      <c r="M1196" s="132">
        <v>2</v>
      </c>
      <c r="N1196" s="117"/>
      <c r="O1196" s="133">
        <v>0.5</v>
      </c>
      <c r="P1196" s="117" t="s">
        <v>112</v>
      </c>
      <c r="Q1196" s="163">
        <f t="shared" si="587"/>
        <v>1</v>
      </c>
      <c r="R1196" s="161">
        <v>1</v>
      </c>
      <c r="S1196" s="163">
        <f t="shared" si="588"/>
        <v>2</v>
      </c>
      <c r="T1196" s="165" t="s">
        <v>48</v>
      </c>
    </row>
    <row r="1197" spans="3:20" ht="20.25" customHeight="1">
      <c r="C1197" s="109"/>
      <c r="D1197" s="115">
        <f t="shared" si="564"/>
        <v>1197</v>
      </c>
      <c r="E1197" s="119" t="s">
        <v>576</v>
      </c>
      <c r="F1197" s="121">
        <f t="shared" si="586"/>
        <v>1196</v>
      </c>
      <c r="G1197" s="118" t="s">
        <v>115</v>
      </c>
      <c r="H1197" s="118"/>
      <c r="I1197" s="117">
        <v>10</v>
      </c>
      <c r="J1197" s="121" t="str">
        <f>J1196</f>
        <v>75 MM</v>
      </c>
      <c r="K1197" s="131">
        <v>1</v>
      </c>
      <c r="L1197" s="131" t="s">
        <v>39</v>
      </c>
      <c r="M1197" s="141">
        <f t="shared" ref="M1197:M1198" si="590">LEFT(J1197,SEARCH(" ",J1197,1)-1)*K1197*3.142/1000</f>
        <v>0.23565</v>
      </c>
      <c r="N1197" s="117"/>
      <c r="O1197" s="175">
        <f>VLOOKUP(I1197,BM!$A$2:$X$104,17,FALSE)</f>
        <v>1.88</v>
      </c>
      <c r="P1197" s="117" t="s">
        <v>112</v>
      </c>
      <c r="Q1197" s="163">
        <f t="shared" si="587"/>
        <v>0.44302199999999997</v>
      </c>
      <c r="R1197" s="161">
        <v>1</v>
      </c>
      <c r="S1197" s="163">
        <f t="shared" si="588"/>
        <v>1.443022</v>
      </c>
      <c r="T1197" s="165" t="s">
        <v>48</v>
      </c>
    </row>
    <row r="1198" spans="3:20" ht="20.25" customHeight="1">
      <c r="C1198" s="109"/>
      <c r="D1198" s="115">
        <f t="shared" si="564"/>
        <v>1198</v>
      </c>
      <c r="E1198" s="119" t="s">
        <v>577</v>
      </c>
      <c r="F1198" s="121">
        <f t="shared" si="586"/>
        <v>1197</v>
      </c>
      <c r="G1198" s="118" t="s">
        <v>115</v>
      </c>
      <c r="H1198" s="118"/>
      <c r="I1198" s="117">
        <v>10</v>
      </c>
      <c r="J1198" s="121" t="str">
        <f>J1197</f>
        <v>75 MM</v>
      </c>
      <c r="K1198" s="131">
        <v>1</v>
      </c>
      <c r="L1198" s="131" t="s">
        <v>39</v>
      </c>
      <c r="M1198" s="141">
        <f t="shared" si="590"/>
        <v>0.23565</v>
      </c>
      <c r="N1198" s="117"/>
      <c r="O1198" s="175">
        <f>VLOOKUP(I1198,BM!$A$2:$X$104,17,FALSE)</f>
        <v>1.88</v>
      </c>
      <c r="P1198" s="117" t="s">
        <v>112</v>
      </c>
      <c r="Q1198" s="163">
        <f t="shared" si="587"/>
        <v>0.44302199999999997</v>
      </c>
      <c r="R1198" s="161">
        <v>1</v>
      </c>
      <c r="S1198" s="163">
        <f t="shared" si="588"/>
        <v>1.443022</v>
      </c>
      <c r="T1198" s="165" t="s">
        <v>48</v>
      </c>
    </row>
    <row r="1199" spans="3:20" ht="20.25" customHeight="1">
      <c r="C1199" s="109">
        <f>D1199</f>
        <v>1199</v>
      </c>
      <c r="D1199" s="115">
        <f t="shared" si="564"/>
        <v>1199</v>
      </c>
      <c r="E1199" s="116" t="s">
        <v>578</v>
      </c>
      <c r="F1199" s="121">
        <f>D1192</f>
        <v>1192</v>
      </c>
      <c r="G1199" s="118"/>
      <c r="H1199" s="118"/>
      <c r="I1199" s="117"/>
      <c r="J1199" s="117"/>
      <c r="K1199" s="131"/>
      <c r="L1199" s="131"/>
      <c r="M1199" s="132"/>
      <c r="N1199" s="117"/>
      <c r="O1199" s="133"/>
      <c r="P1199" s="117"/>
      <c r="Q1199" s="163"/>
      <c r="R1199" s="161"/>
      <c r="S1199" s="163"/>
      <c r="T1199" s="165"/>
    </row>
    <row r="1200" spans="3:20" ht="20.25" customHeight="1">
      <c r="C1200" s="109"/>
      <c r="D1200" s="115">
        <f t="shared" si="564"/>
        <v>1200</v>
      </c>
      <c r="E1200" s="119" t="s">
        <v>579</v>
      </c>
      <c r="F1200" s="121">
        <f t="shared" ref="F1200:F1201" si="591">D1199</f>
        <v>1199</v>
      </c>
      <c r="G1200" s="118" t="s">
        <v>149</v>
      </c>
      <c r="H1200" s="118"/>
      <c r="I1200" s="117">
        <v>20</v>
      </c>
      <c r="J1200" s="121" t="str">
        <f>J1191</f>
        <v>40NB</v>
      </c>
      <c r="K1200" s="131">
        <v>1</v>
      </c>
      <c r="L1200" s="131" t="s">
        <v>39</v>
      </c>
      <c r="M1200" s="132">
        <v>1</v>
      </c>
      <c r="N1200" s="117" t="s">
        <v>564</v>
      </c>
      <c r="O1200" s="175">
        <f>VLOOKUP(I1200,BM!$A$2:$X$104,23,FALSE)</f>
        <v>8</v>
      </c>
      <c r="P1200" s="117" t="s">
        <v>112</v>
      </c>
      <c r="Q1200" s="163">
        <f t="shared" ref="Q1200:Q1201" si="592">M1200*O1200</f>
        <v>8</v>
      </c>
      <c r="R1200" s="161">
        <v>1</v>
      </c>
      <c r="S1200" s="163">
        <f t="shared" ref="S1200:S1201" si="593">Q1200+R1200</f>
        <v>9</v>
      </c>
      <c r="T1200" s="165" t="s">
        <v>48</v>
      </c>
    </row>
    <row r="1201" spans="3:20" ht="20.25" customHeight="1">
      <c r="C1201" s="109"/>
      <c r="D1201" s="115">
        <f t="shared" si="564"/>
        <v>1201</v>
      </c>
      <c r="E1201" s="119" t="s">
        <v>580</v>
      </c>
      <c r="F1201" s="121">
        <f t="shared" si="591"/>
        <v>1200</v>
      </c>
      <c r="G1201" s="118" t="s">
        <v>63</v>
      </c>
      <c r="H1201" s="118"/>
      <c r="I1201" s="117" t="s">
        <v>581</v>
      </c>
      <c r="J1201" s="121" t="str">
        <f>J1191</f>
        <v>40NB</v>
      </c>
      <c r="K1201" s="131">
        <v>1</v>
      </c>
      <c r="L1201" s="131" t="s">
        <v>485</v>
      </c>
      <c r="M1201" s="132">
        <v>1</v>
      </c>
      <c r="N1201" s="117" t="s">
        <v>39</v>
      </c>
      <c r="O1201" s="133">
        <v>1</v>
      </c>
      <c r="P1201" s="117" t="s">
        <v>41</v>
      </c>
      <c r="Q1201" s="163">
        <f t="shared" si="592"/>
        <v>1</v>
      </c>
      <c r="R1201" s="161"/>
      <c r="S1201" s="163">
        <f t="shared" si="593"/>
        <v>1</v>
      </c>
      <c r="T1201" s="165" t="s">
        <v>48</v>
      </c>
    </row>
    <row r="1202" spans="3:20" ht="20.25" customHeight="1">
      <c r="C1202" s="109">
        <f t="shared" ref="C1202:C1203" si="594">D1202</f>
        <v>1202</v>
      </c>
      <c r="D1202" s="115">
        <f t="shared" si="564"/>
        <v>1202</v>
      </c>
      <c r="E1202" s="176" t="s">
        <v>582</v>
      </c>
      <c r="F1202" s="121"/>
      <c r="G1202" s="118"/>
      <c r="H1202" s="118"/>
      <c r="I1202" s="117"/>
      <c r="J1202" s="117"/>
      <c r="K1202" s="131"/>
      <c r="L1202" s="131"/>
      <c r="M1202" s="132"/>
      <c r="N1202" s="117"/>
      <c r="O1202" s="133"/>
      <c r="P1202" s="117"/>
      <c r="Q1202" s="163"/>
      <c r="R1202" s="161"/>
      <c r="S1202" s="163"/>
      <c r="T1202" s="165"/>
    </row>
    <row r="1203" spans="3:20" ht="20.25" customHeight="1">
      <c r="C1203" s="109">
        <f t="shared" si="594"/>
        <v>1203</v>
      </c>
      <c r="D1203" s="115">
        <f t="shared" si="564"/>
        <v>1203</v>
      </c>
      <c r="E1203" s="116" t="s">
        <v>583</v>
      </c>
      <c r="F1203" s="125">
        <f>D641</f>
        <v>641</v>
      </c>
      <c r="G1203" s="118"/>
      <c r="H1203" s="118"/>
      <c r="I1203" s="117"/>
      <c r="J1203" s="117"/>
      <c r="K1203" s="131"/>
      <c r="L1203" s="131"/>
      <c r="M1203" s="132"/>
      <c r="N1203" s="117"/>
      <c r="O1203" s="133"/>
      <c r="P1203" s="117"/>
      <c r="Q1203" s="163"/>
      <c r="R1203" s="161"/>
      <c r="S1203" s="163"/>
      <c r="T1203" s="165"/>
    </row>
    <row r="1204" spans="3:20" ht="20.25" customHeight="1">
      <c r="C1204" s="109"/>
      <c r="D1204" s="115">
        <f t="shared" si="564"/>
        <v>1204</v>
      </c>
      <c r="E1204" s="119" t="s">
        <v>584</v>
      </c>
      <c r="F1204" s="121">
        <f t="shared" ref="F1204:F1208" si="595">D1203</f>
        <v>1203</v>
      </c>
      <c r="G1204" s="118" t="s">
        <v>37</v>
      </c>
      <c r="H1204" s="118"/>
      <c r="I1204" s="117"/>
      <c r="J1204" s="117"/>
      <c r="K1204" s="131">
        <v>1</v>
      </c>
      <c r="L1204" s="154" t="s">
        <v>39</v>
      </c>
      <c r="M1204" s="132">
        <v>1</v>
      </c>
      <c r="N1204" s="117"/>
      <c r="O1204" s="133">
        <v>4</v>
      </c>
      <c r="P1204" s="117" t="s">
        <v>41</v>
      </c>
      <c r="Q1204" s="163">
        <f t="shared" ref="Q1204:Q1208" si="596">M1204*O1204</f>
        <v>4</v>
      </c>
      <c r="R1204" s="161"/>
      <c r="S1204" s="163">
        <f t="shared" ref="S1204:S1208" si="597">Q1204+R1204</f>
        <v>4</v>
      </c>
      <c r="T1204" s="165" t="s">
        <v>48</v>
      </c>
    </row>
    <row r="1205" spans="3:20" ht="20.25" customHeight="1">
      <c r="C1205" s="109"/>
      <c r="D1205" s="115">
        <f t="shared" si="564"/>
        <v>1205</v>
      </c>
      <c r="E1205" s="119" t="s">
        <v>585</v>
      </c>
      <c r="F1205" s="121">
        <f t="shared" si="595"/>
        <v>1204</v>
      </c>
      <c r="G1205" s="118" t="s">
        <v>44</v>
      </c>
      <c r="H1205" s="118"/>
      <c r="I1205" s="117">
        <v>50</v>
      </c>
      <c r="J1205" s="145" t="s">
        <v>586</v>
      </c>
      <c r="K1205" s="131">
        <v>1</v>
      </c>
      <c r="L1205" s="131" t="s">
        <v>81</v>
      </c>
      <c r="M1205" s="141">
        <f>LEFT(J1205,SEARCH(" ",J1205,1)-1)*1.28*3.142/1000</f>
        <v>6.2337280000000002</v>
      </c>
      <c r="N1205" s="117" t="s">
        <v>139</v>
      </c>
      <c r="O1205" s="175">
        <f>VLOOKUP(I1205,BM!$A$2:$X$104,2,FALSE)</f>
        <v>0.1</v>
      </c>
      <c r="P1205" s="117" t="s">
        <v>112</v>
      </c>
      <c r="Q1205" s="163">
        <f t="shared" si="596"/>
        <v>0.62337280000000006</v>
      </c>
      <c r="R1205" s="161">
        <v>1</v>
      </c>
      <c r="S1205" s="163">
        <f t="shared" si="597"/>
        <v>1.6233728000000001</v>
      </c>
      <c r="T1205" s="165" t="s">
        <v>48</v>
      </c>
    </row>
    <row r="1206" spans="3:20" ht="20.25" customHeight="1">
      <c r="C1206" s="109"/>
      <c r="D1206" s="115">
        <f t="shared" si="564"/>
        <v>1206</v>
      </c>
      <c r="E1206" s="119" t="s">
        <v>587</v>
      </c>
      <c r="F1206" s="121">
        <f t="shared" si="595"/>
        <v>1205</v>
      </c>
      <c r="G1206" s="118" t="s">
        <v>44</v>
      </c>
      <c r="H1206" s="118"/>
      <c r="I1206" s="121">
        <v>50</v>
      </c>
      <c r="J1206" s="145" t="s">
        <v>586</v>
      </c>
      <c r="K1206" s="131">
        <v>1</v>
      </c>
      <c r="L1206" s="131" t="s">
        <v>81</v>
      </c>
      <c r="M1206" s="155">
        <v>1</v>
      </c>
      <c r="N1206" s="145" t="s">
        <v>81</v>
      </c>
      <c r="O1206" s="175">
        <v>1</v>
      </c>
      <c r="P1206" s="145" t="s">
        <v>162</v>
      </c>
      <c r="Q1206" s="163">
        <f t="shared" si="596"/>
        <v>1</v>
      </c>
      <c r="R1206" s="161">
        <v>1</v>
      </c>
      <c r="S1206" s="163">
        <f t="shared" si="597"/>
        <v>2</v>
      </c>
      <c r="T1206" s="165" t="s">
        <v>48</v>
      </c>
    </row>
    <row r="1207" spans="3:20" ht="20.25" customHeight="1">
      <c r="C1207" s="109"/>
      <c r="D1207" s="115">
        <f t="shared" si="564"/>
        <v>1207</v>
      </c>
      <c r="E1207" s="119" t="s">
        <v>588</v>
      </c>
      <c r="F1207" s="121">
        <f t="shared" si="595"/>
        <v>1206</v>
      </c>
      <c r="G1207" s="118" t="s">
        <v>52</v>
      </c>
      <c r="H1207" s="118"/>
      <c r="I1207" s="121">
        <v>50</v>
      </c>
      <c r="J1207" s="145" t="s">
        <v>586</v>
      </c>
      <c r="K1207" s="131">
        <v>1</v>
      </c>
      <c r="L1207" s="131" t="s">
        <v>81</v>
      </c>
      <c r="M1207" s="141">
        <f>LEFT(J1207,SEARCH(" ",J1207,1)-1)*1.28*3.142/1000</f>
        <v>6.2337280000000002</v>
      </c>
      <c r="N1207" s="117" t="s">
        <v>139</v>
      </c>
      <c r="O1207" s="175">
        <f>VLOOKUP(I1207,BM!$A$2:$X$104,3,FALSE)</f>
        <v>0.25</v>
      </c>
      <c r="P1207" s="117" t="s">
        <v>112</v>
      </c>
      <c r="Q1207" s="163">
        <f t="shared" si="596"/>
        <v>1.558432</v>
      </c>
      <c r="R1207" s="161">
        <v>1</v>
      </c>
      <c r="S1207" s="163">
        <f t="shared" si="597"/>
        <v>2.5584319999999998</v>
      </c>
      <c r="T1207" s="165" t="s">
        <v>48</v>
      </c>
    </row>
    <row r="1208" spans="3:20" ht="20.25" customHeight="1">
      <c r="C1208" s="109"/>
      <c r="D1208" s="115">
        <f t="shared" si="564"/>
        <v>1208</v>
      </c>
      <c r="E1208" s="119" t="s">
        <v>589</v>
      </c>
      <c r="F1208" s="121">
        <f t="shared" si="595"/>
        <v>1207</v>
      </c>
      <c r="G1208" s="118" t="s">
        <v>61</v>
      </c>
      <c r="H1208" s="118"/>
      <c r="I1208" s="121">
        <f>I1205</f>
        <v>50</v>
      </c>
      <c r="J1208" s="145" t="s">
        <v>586</v>
      </c>
      <c r="K1208" s="131">
        <v>1</v>
      </c>
      <c r="L1208" s="131" t="s">
        <v>81</v>
      </c>
      <c r="M1208" s="141">
        <f>LEFT(J1208,SEARCH(" ",J1208,1)-1)*1.28*3.142/1000</f>
        <v>6.2337280000000002</v>
      </c>
      <c r="N1208" s="117" t="s">
        <v>139</v>
      </c>
      <c r="O1208" s="175">
        <f>VLOOKUP(I1208,BM!$A$2:$X$104,6,FALSE)</f>
        <v>1</v>
      </c>
      <c r="P1208" s="117" t="s">
        <v>112</v>
      </c>
      <c r="Q1208" s="163">
        <f t="shared" si="596"/>
        <v>6.2337280000000002</v>
      </c>
      <c r="R1208" s="161">
        <v>1</v>
      </c>
      <c r="S1208" s="163">
        <f t="shared" si="597"/>
        <v>7.2337280000000002</v>
      </c>
      <c r="T1208" s="165" t="s">
        <v>48</v>
      </c>
    </row>
    <row r="1209" spans="3:20" ht="20.25" customHeight="1">
      <c r="C1209" s="109">
        <f>D1209</f>
        <v>1209</v>
      </c>
      <c r="D1209" s="115">
        <f t="shared" si="564"/>
        <v>1209</v>
      </c>
      <c r="E1209" s="116" t="s">
        <v>590</v>
      </c>
      <c r="F1209" s="121">
        <f>D1203</f>
        <v>1203</v>
      </c>
      <c r="G1209" s="118"/>
      <c r="H1209" s="118"/>
      <c r="I1209" s="117"/>
      <c r="J1209" s="117"/>
      <c r="K1209" s="131"/>
      <c r="L1209" s="131"/>
      <c r="M1209" s="132"/>
      <c r="N1209" s="117"/>
      <c r="O1209" s="133"/>
      <c r="P1209" s="117"/>
      <c r="Q1209" s="163"/>
      <c r="R1209" s="161"/>
      <c r="S1209" s="163"/>
      <c r="T1209" s="165"/>
    </row>
    <row r="1210" spans="3:20" ht="20.25" customHeight="1">
      <c r="C1210" s="109"/>
      <c r="D1210" s="115">
        <f t="shared" si="564"/>
        <v>1210</v>
      </c>
      <c r="E1210" s="119" t="s">
        <v>591</v>
      </c>
      <c r="F1210" s="121">
        <f t="shared" ref="F1210:F1211" si="598">D1209</f>
        <v>1209</v>
      </c>
      <c r="G1210" s="118" t="s">
        <v>55</v>
      </c>
      <c r="H1210" s="118"/>
      <c r="I1210" s="121">
        <f>I1208</f>
        <v>50</v>
      </c>
      <c r="J1210" s="117" t="str">
        <f>J1207</f>
        <v>1550 mm id</v>
      </c>
      <c r="K1210" s="131">
        <v>1</v>
      </c>
      <c r="L1210" s="131" t="s">
        <v>81</v>
      </c>
      <c r="M1210" s="132">
        <v>1</v>
      </c>
      <c r="N1210" s="117" t="s">
        <v>39</v>
      </c>
      <c r="O1210" s="133">
        <v>10</v>
      </c>
      <c r="P1210" s="117" t="s">
        <v>41</v>
      </c>
      <c r="Q1210" s="163">
        <f t="shared" ref="Q1210:Q1211" si="599">M1210*O1210</f>
        <v>10</v>
      </c>
      <c r="R1210" s="161"/>
      <c r="S1210" s="163">
        <f t="shared" ref="S1210:S1211" si="600">Q1210+R1210</f>
        <v>10</v>
      </c>
      <c r="T1210" s="165" t="s">
        <v>48</v>
      </c>
    </row>
    <row r="1211" spans="3:20" ht="20.25" customHeight="1">
      <c r="C1211" s="109"/>
      <c r="D1211" s="115">
        <f t="shared" si="564"/>
        <v>1211</v>
      </c>
      <c r="E1211" s="119" t="s">
        <v>592</v>
      </c>
      <c r="F1211" s="121">
        <f t="shared" si="598"/>
        <v>1210</v>
      </c>
      <c r="G1211" s="118" t="s">
        <v>44</v>
      </c>
      <c r="H1211" s="118"/>
      <c r="I1211" s="121">
        <f>I1208</f>
        <v>50</v>
      </c>
      <c r="J1211" s="117" t="str">
        <f>J1208</f>
        <v>1550 mm id</v>
      </c>
      <c r="K1211" s="131">
        <v>1</v>
      </c>
      <c r="L1211" s="131" t="s">
        <v>81</v>
      </c>
      <c r="M1211" s="132">
        <v>1</v>
      </c>
      <c r="N1211" s="117" t="s">
        <v>39</v>
      </c>
      <c r="O1211" s="133">
        <v>1</v>
      </c>
      <c r="P1211" s="117" t="s">
        <v>41</v>
      </c>
      <c r="Q1211" s="163">
        <f t="shared" si="599"/>
        <v>1</v>
      </c>
      <c r="R1211" s="161"/>
      <c r="S1211" s="163">
        <f t="shared" si="600"/>
        <v>1</v>
      </c>
      <c r="T1211" s="165" t="s">
        <v>48</v>
      </c>
    </row>
    <row r="1212" spans="3:20" ht="20.25" customHeight="1">
      <c r="C1212" s="109">
        <f>D1212</f>
        <v>1212</v>
      </c>
      <c r="D1212" s="115">
        <f t="shared" si="564"/>
        <v>1212</v>
      </c>
      <c r="E1212" s="116" t="s">
        <v>593</v>
      </c>
      <c r="F1212" s="121">
        <f>D1209</f>
        <v>1209</v>
      </c>
      <c r="G1212" s="118"/>
      <c r="H1212" s="118"/>
      <c r="I1212" s="117"/>
      <c r="J1212" s="117"/>
      <c r="K1212" s="131"/>
      <c r="L1212" s="131"/>
      <c r="M1212" s="132"/>
      <c r="N1212" s="117"/>
      <c r="O1212" s="133"/>
      <c r="P1212" s="117"/>
      <c r="Q1212" s="163"/>
      <c r="R1212" s="161"/>
      <c r="S1212" s="163"/>
      <c r="T1212" s="165"/>
    </row>
    <row r="1213" spans="3:20" ht="20.25" customHeight="1">
      <c r="C1213" s="109"/>
      <c r="D1213" s="115">
        <f t="shared" si="564"/>
        <v>1213</v>
      </c>
      <c r="E1213" s="119" t="s">
        <v>594</v>
      </c>
      <c r="F1213" s="121">
        <f t="shared" ref="F1213:F1214" si="601">D1212</f>
        <v>1212</v>
      </c>
      <c r="G1213" s="118" t="s">
        <v>44</v>
      </c>
      <c r="H1213" s="118"/>
      <c r="I1213" s="121">
        <f>I1211</f>
        <v>50</v>
      </c>
      <c r="J1213" s="117" t="str">
        <f>J1211</f>
        <v>1550 mm id</v>
      </c>
      <c r="K1213" s="131">
        <v>1</v>
      </c>
      <c r="L1213" s="131" t="s">
        <v>81</v>
      </c>
      <c r="M1213" s="132">
        <v>1</v>
      </c>
      <c r="N1213" s="117" t="s">
        <v>39</v>
      </c>
      <c r="O1213" s="133">
        <v>4</v>
      </c>
      <c r="P1213" s="117" t="s">
        <v>595</v>
      </c>
      <c r="Q1213" s="163">
        <f t="shared" ref="Q1213:Q1214" si="602">M1213*O1213</f>
        <v>4</v>
      </c>
      <c r="R1213" s="161"/>
      <c r="S1213" s="163">
        <f t="shared" ref="S1213:S1214" si="603">Q1213+R1213</f>
        <v>4</v>
      </c>
      <c r="T1213" s="165" t="s">
        <v>48</v>
      </c>
    </row>
    <row r="1214" spans="3:20" ht="20.25" customHeight="1">
      <c r="C1214" s="109"/>
      <c r="D1214" s="115">
        <f t="shared" si="564"/>
        <v>1214</v>
      </c>
      <c r="E1214" s="119" t="s">
        <v>593</v>
      </c>
      <c r="F1214" s="121">
        <f t="shared" si="601"/>
        <v>1213</v>
      </c>
      <c r="G1214" s="118" t="s">
        <v>52</v>
      </c>
      <c r="H1214" s="118"/>
      <c r="I1214" s="121">
        <f>I1211</f>
        <v>50</v>
      </c>
      <c r="J1214" s="117" t="str">
        <f>J1211</f>
        <v>1550 mm id</v>
      </c>
      <c r="K1214" s="131">
        <v>1</v>
      </c>
      <c r="L1214" s="131" t="s">
        <v>81</v>
      </c>
      <c r="M1214" s="141">
        <f>LEFT(J1214,SEARCH(" ",J1214,1)-1)*1.28*3.142/1000</f>
        <v>6.2337280000000002</v>
      </c>
      <c r="N1214" s="117" t="s">
        <v>249</v>
      </c>
      <c r="O1214" s="175">
        <f>VLOOKUP(I1214,BM!$A$2:$X$104,2,FALSE)</f>
        <v>0.1</v>
      </c>
      <c r="P1214" s="117" t="s">
        <v>112</v>
      </c>
      <c r="Q1214" s="163">
        <f t="shared" si="602"/>
        <v>0.62337280000000006</v>
      </c>
      <c r="R1214" s="161">
        <v>2</v>
      </c>
      <c r="S1214" s="163">
        <f t="shared" si="603"/>
        <v>2.6233728000000003</v>
      </c>
      <c r="T1214" s="165" t="s">
        <v>48</v>
      </c>
    </row>
    <row r="1215" spans="3:20" ht="20.25" customHeight="1">
      <c r="C1215" s="109">
        <f>D1215</f>
        <v>1215</v>
      </c>
      <c r="D1215" s="115">
        <f t="shared" si="564"/>
        <v>1215</v>
      </c>
      <c r="E1215" s="116" t="s">
        <v>596</v>
      </c>
      <c r="F1215" s="121">
        <f>D1212</f>
        <v>1212</v>
      </c>
      <c r="G1215" s="118"/>
      <c r="H1215" s="118"/>
      <c r="I1215" s="117"/>
      <c r="J1215" s="117"/>
      <c r="K1215" s="131"/>
      <c r="L1215" s="131"/>
      <c r="M1215" s="132"/>
      <c r="N1215" s="117"/>
      <c r="O1215" s="133"/>
      <c r="P1215" s="117"/>
      <c r="Q1215" s="163"/>
      <c r="R1215" s="161"/>
      <c r="S1215" s="163"/>
      <c r="T1215" s="165"/>
    </row>
    <row r="1216" spans="3:20" ht="20.25" customHeight="1">
      <c r="C1216" s="109"/>
      <c r="D1216" s="115">
        <f t="shared" si="564"/>
        <v>1216</v>
      </c>
      <c r="E1216" s="119" t="s">
        <v>597</v>
      </c>
      <c r="F1216" s="121">
        <f t="shared" ref="F1216" si="604">D1215</f>
        <v>1215</v>
      </c>
      <c r="G1216" s="118" t="s">
        <v>121</v>
      </c>
      <c r="H1216" s="118"/>
      <c r="I1216" s="121">
        <v>25</v>
      </c>
      <c r="J1216" s="117" t="str">
        <f>J1214</f>
        <v>1550 mm id</v>
      </c>
      <c r="K1216" s="131">
        <v>1</v>
      </c>
      <c r="L1216" s="131" t="s">
        <v>81</v>
      </c>
      <c r="M1216" s="141">
        <f>LEFT(J1216,SEARCH(" ",J1216,1)-1)*1.28*3.142/1000</f>
        <v>6.2337280000000002</v>
      </c>
      <c r="N1216" s="117" t="s">
        <v>249</v>
      </c>
      <c r="O1216" s="175">
        <f>VLOOKUP(I1216,BM!$A$2:$X$104,6,FALSE)</f>
        <v>1</v>
      </c>
      <c r="P1216" s="117" t="s">
        <v>112</v>
      </c>
      <c r="Q1216" s="163">
        <f t="shared" ref="Q1216" si="605">M1216*O1216</f>
        <v>6.2337280000000002</v>
      </c>
      <c r="R1216" s="161">
        <v>2</v>
      </c>
      <c r="S1216" s="163">
        <f t="shared" ref="S1216" si="606">Q1216+R1216</f>
        <v>8.2337279999999993</v>
      </c>
      <c r="T1216" s="165" t="s">
        <v>48</v>
      </c>
    </row>
    <row r="1217" spans="3:20" ht="20.25" customHeight="1">
      <c r="C1217" s="109">
        <f>D1217</f>
        <v>1217</v>
      </c>
      <c r="D1217" s="115">
        <f t="shared" si="564"/>
        <v>1217</v>
      </c>
      <c r="E1217" s="116" t="s">
        <v>598</v>
      </c>
      <c r="F1217" s="121">
        <f>D1215</f>
        <v>1215</v>
      </c>
      <c r="G1217" s="118"/>
      <c r="H1217" s="118"/>
      <c r="I1217" s="117"/>
      <c r="J1217" s="117"/>
      <c r="K1217" s="131"/>
      <c r="L1217" s="131"/>
      <c r="M1217" s="132"/>
      <c r="N1217" s="117"/>
      <c r="O1217" s="133"/>
      <c r="P1217" s="117"/>
      <c r="Q1217" s="163"/>
      <c r="R1217" s="161"/>
      <c r="S1217" s="163"/>
      <c r="T1217" s="165"/>
    </row>
    <row r="1218" spans="3:20" ht="20.25" customHeight="1">
      <c r="C1218" s="109"/>
      <c r="D1218" s="115">
        <f t="shared" si="564"/>
        <v>1218</v>
      </c>
      <c r="E1218" s="119" t="s">
        <v>598</v>
      </c>
      <c r="F1218" s="121">
        <f t="shared" ref="F1218" si="607">D1217</f>
        <v>1217</v>
      </c>
      <c r="G1218" s="118" t="s">
        <v>111</v>
      </c>
      <c r="H1218" s="118"/>
      <c r="I1218" s="121">
        <f>I1216</f>
        <v>25</v>
      </c>
      <c r="J1218" s="117" t="str">
        <f>J1216</f>
        <v>1550 mm id</v>
      </c>
      <c r="K1218" s="131">
        <v>1</v>
      </c>
      <c r="L1218" s="131" t="s">
        <v>81</v>
      </c>
      <c r="M1218" s="141">
        <f>LEFT(J1218,SEARCH(" ",J1218,1)-1)*1.28*3.142/1000</f>
        <v>6.2337280000000002</v>
      </c>
      <c r="N1218" s="117" t="s">
        <v>249</v>
      </c>
      <c r="O1218" s="175">
        <f>VLOOKUP(I1218,BM!$A$2:$X$104,15,FALSE)</f>
        <v>1</v>
      </c>
      <c r="P1218" s="117" t="s">
        <v>112</v>
      </c>
      <c r="Q1218" s="163">
        <f t="shared" ref="Q1218" si="608">M1218*O1218</f>
        <v>6.2337280000000002</v>
      </c>
      <c r="R1218" s="161">
        <v>2</v>
      </c>
      <c r="S1218" s="163">
        <f t="shared" ref="S1218" si="609">Q1218+R1218</f>
        <v>8.2337279999999993</v>
      </c>
      <c r="T1218" s="165" t="s">
        <v>48</v>
      </c>
    </row>
    <row r="1219" spans="3:20" ht="20.25" customHeight="1">
      <c r="C1219" s="109">
        <f>D1219</f>
        <v>1219</v>
      </c>
      <c r="D1219" s="115">
        <f t="shared" si="564"/>
        <v>1219</v>
      </c>
      <c r="E1219" s="116" t="s">
        <v>599</v>
      </c>
      <c r="F1219" s="121">
        <f>D1217</f>
        <v>1217</v>
      </c>
      <c r="G1219" s="118"/>
      <c r="H1219" s="118"/>
      <c r="I1219" s="117"/>
      <c r="J1219" s="117"/>
      <c r="K1219" s="131"/>
      <c r="L1219" s="131"/>
      <c r="M1219" s="132"/>
      <c r="N1219" s="117"/>
      <c r="O1219" s="133"/>
      <c r="P1219" s="117"/>
      <c r="Q1219" s="163"/>
      <c r="R1219" s="161"/>
      <c r="S1219" s="163"/>
      <c r="T1219" s="165"/>
    </row>
    <row r="1220" spans="3:20" ht="20.25" customHeight="1">
      <c r="C1220" s="109"/>
      <c r="D1220" s="115">
        <f t="shared" si="564"/>
        <v>1220</v>
      </c>
      <c r="E1220" s="119" t="s">
        <v>599</v>
      </c>
      <c r="F1220" s="121">
        <f t="shared" ref="F1220:F1224" si="610">D1219</f>
        <v>1219</v>
      </c>
      <c r="G1220" s="118" t="s">
        <v>115</v>
      </c>
      <c r="H1220" s="118"/>
      <c r="I1220" s="117">
        <v>30</v>
      </c>
      <c r="J1220" s="117" t="str">
        <f>J1218</f>
        <v>1550 mm id</v>
      </c>
      <c r="K1220" s="131">
        <v>1</v>
      </c>
      <c r="L1220" s="131" t="s">
        <v>81</v>
      </c>
      <c r="M1220" s="141">
        <f>LEFT(J1220,SEARCH(" ",J1220,1)-1)*1.28*3.142/1000</f>
        <v>6.2337280000000002</v>
      </c>
      <c r="N1220" s="117" t="s">
        <v>249</v>
      </c>
      <c r="O1220" s="175">
        <f>VLOOKUP(I1220,BM!$A$2:$X$104,23,FALSE)</f>
        <v>16.8</v>
      </c>
      <c r="P1220" s="117" t="s">
        <v>112</v>
      </c>
      <c r="Q1220" s="163">
        <f t="shared" ref="Q1220:Q1224" si="611">M1220*O1220</f>
        <v>104.7266304</v>
      </c>
      <c r="R1220" s="161">
        <v>2</v>
      </c>
      <c r="S1220" s="163">
        <f t="shared" ref="S1220:S1224" si="612">Q1220+R1220</f>
        <v>106.7266304</v>
      </c>
      <c r="T1220" s="165" t="s">
        <v>48</v>
      </c>
    </row>
    <row r="1221" spans="3:20" ht="20.25" customHeight="1">
      <c r="C1221" s="109"/>
      <c r="D1221" s="115">
        <f t="shared" si="564"/>
        <v>1221</v>
      </c>
      <c r="E1221" s="119" t="s">
        <v>600</v>
      </c>
      <c r="F1221" s="121">
        <f t="shared" si="610"/>
        <v>1220</v>
      </c>
      <c r="G1221" s="118" t="s">
        <v>299</v>
      </c>
      <c r="H1221" s="118"/>
      <c r="I1221" s="117">
        <v>16</v>
      </c>
      <c r="J1221" s="117" t="str">
        <f>J1220</f>
        <v>1550 mm id</v>
      </c>
      <c r="K1221" s="131">
        <v>1</v>
      </c>
      <c r="L1221" s="131" t="s">
        <v>81</v>
      </c>
      <c r="M1221" s="132">
        <v>1</v>
      </c>
      <c r="N1221" s="117" t="s">
        <v>39</v>
      </c>
      <c r="O1221" s="133">
        <v>4</v>
      </c>
      <c r="P1221" s="117" t="s">
        <v>112</v>
      </c>
      <c r="Q1221" s="163">
        <f t="shared" si="611"/>
        <v>4</v>
      </c>
      <c r="R1221" s="161">
        <v>1</v>
      </c>
      <c r="S1221" s="163">
        <f t="shared" si="612"/>
        <v>5</v>
      </c>
      <c r="T1221" s="165" t="s">
        <v>48</v>
      </c>
    </row>
    <row r="1222" spans="3:20" ht="20.25" customHeight="1">
      <c r="C1222" s="109"/>
      <c r="D1222" s="115">
        <f t="shared" si="564"/>
        <v>1222</v>
      </c>
      <c r="E1222" s="119" t="s">
        <v>601</v>
      </c>
      <c r="F1222" s="121">
        <f t="shared" si="610"/>
        <v>1221</v>
      </c>
      <c r="G1222" s="118" t="s">
        <v>115</v>
      </c>
      <c r="H1222" s="118"/>
      <c r="I1222" s="117">
        <v>16</v>
      </c>
      <c r="J1222" s="145" t="s">
        <v>602</v>
      </c>
      <c r="K1222" s="131">
        <v>1</v>
      </c>
      <c r="L1222" s="131" t="s">
        <v>81</v>
      </c>
      <c r="M1222" s="141">
        <f>LEFT(J1222,SEARCH(" ",J1222,1)-1)/1000</f>
        <v>3</v>
      </c>
      <c r="N1222" s="117" t="s">
        <v>249</v>
      </c>
      <c r="O1222" s="175">
        <f>VLOOKUP(I1222,BM!$A$2:$X$104,22,FALSE)</f>
        <v>2.8</v>
      </c>
      <c r="P1222" s="117" t="s">
        <v>112</v>
      </c>
      <c r="Q1222" s="163">
        <f t="shared" si="611"/>
        <v>8.3999999999999986</v>
      </c>
      <c r="R1222" s="161">
        <v>2</v>
      </c>
      <c r="S1222" s="163">
        <f t="shared" si="612"/>
        <v>10.399999999999999</v>
      </c>
      <c r="T1222" s="165" t="s">
        <v>48</v>
      </c>
    </row>
    <row r="1223" spans="3:20" ht="20.25" customHeight="1">
      <c r="C1223" s="109"/>
      <c r="D1223" s="115">
        <f t="shared" si="564"/>
        <v>1223</v>
      </c>
      <c r="E1223" s="119" t="s">
        <v>603</v>
      </c>
      <c r="F1223" s="121">
        <f t="shared" si="610"/>
        <v>1222</v>
      </c>
      <c r="G1223" s="118" t="s">
        <v>44</v>
      </c>
      <c r="H1223" s="118"/>
      <c r="I1223" s="117">
        <v>16</v>
      </c>
      <c r="J1223" s="117" t="str">
        <f>J1222</f>
        <v>3000 mm</v>
      </c>
      <c r="K1223" s="131">
        <v>1</v>
      </c>
      <c r="L1223" s="131" t="s">
        <v>81</v>
      </c>
      <c r="M1223" s="132">
        <v>1</v>
      </c>
      <c r="N1223" s="117" t="s">
        <v>39</v>
      </c>
      <c r="O1223" s="133">
        <v>6</v>
      </c>
      <c r="P1223" s="117" t="s">
        <v>112</v>
      </c>
      <c r="Q1223" s="163">
        <f t="shared" si="611"/>
        <v>6</v>
      </c>
      <c r="R1223" s="161">
        <v>1</v>
      </c>
      <c r="S1223" s="163">
        <f t="shared" si="612"/>
        <v>7</v>
      </c>
      <c r="T1223" s="165" t="s">
        <v>48</v>
      </c>
    </row>
    <row r="1224" spans="3:20" ht="20.25" customHeight="1">
      <c r="C1224" s="109"/>
      <c r="D1224" s="115">
        <f t="shared" si="564"/>
        <v>1224</v>
      </c>
      <c r="E1224" s="119" t="s">
        <v>604</v>
      </c>
      <c r="F1224" s="121">
        <f t="shared" si="610"/>
        <v>1223</v>
      </c>
      <c r="G1224" s="118" t="s">
        <v>63</v>
      </c>
      <c r="H1224" s="118"/>
      <c r="I1224" s="117">
        <v>16</v>
      </c>
      <c r="J1224" s="117" t="str">
        <f>J1223</f>
        <v>3000 mm</v>
      </c>
      <c r="K1224" s="131">
        <v>1</v>
      </c>
      <c r="L1224" s="131" t="s">
        <v>81</v>
      </c>
      <c r="M1224" s="132">
        <v>1</v>
      </c>
      <c r="N1224" s="117" t="s">
        <v>39</v>
      </c>
      <c r="O1224" s="133">
        <v>1</v>
      </c>
      <c r="P1224" s="117" t="s">
        <v>112</v>
      </c>
      <c r="Q1224" s="163">
        <f t="shared" si="611"/>
        <v>1</v>
      </c>
      <c r="R1224" s="161">
        <v>1</v>
      </c>
      <c r="S1224" s="163">
        <f t="shared" si="612"/>
        <v>2</v>
      </c>
      <c r="T1224" s="165" t="s">
        <v>48</v>
      </c>
    </row>
    <row r="1225" spans="3:20" ht="20.25" customHeight="1">
      <c r="C1225" s="109">
        <f>D1225</f>
        <v>1225</v>
      </c>
      <c r="D1225" s="115">
        <f t="shared" si="564"/>
        <v>1225</v>
      </c>
      <c r="E1225" s="116" t="s">
        <v>605</v>
      </c>
      <c r="F1225" s="121">
        <f>D1219</f>
        <v>1219</v>
      </c>
      <c r="G1225" s="118"/>
      <c r="H1225" s="118"/>
      <c r="I1225" s="117"/>
      <c r="J1225" s="117"/>
      <c r="K1225" s="131"/>
      <c r="L1225" s="131"/>
      <c r="M1225" s="132"/>
      <c r="N1225" s="117"/>
      <c r="O1225" s="133"/>
      <c r="P1225" s="117"/>
      <c r="Q1225" s="163"/>
      <c r="R1225" s="161"/>
      <c r="S1225" s="163"/>
      <c r="T1225" s="165"/>
    </row>
    <row r="1226" spans="3:20" ht="20.25" customHeight="1">
      <c r="C1226" s="109"/>
      <c r="D1226" s="115">
        <f t="shared" si="564"/>
        <v>1226</v>
      </c>
      <c r="E1226" s="119" t="s">
        <v>606</v>
      </c>
      <c r="F1226" s="121">
        <f t="shared" ref="F1226:F1230" si="613">D1225</f>
        <v>1225</v>
      </c>
      <c r="G1226" s="118" t="s">
        <v>55</v>
      </c>
      <c r="H1226" s="118"/>
      <c r="I1226" s="117"/>
      <c r="J1226" s="117" t="str">
        <f>J1221</f>
        <v>1550 mm id</v>
      </c>
      <c r="K1226" s="131">
        <v>1</v>
      </c>
      <c r="L1226" s="131" t="s">
        <v>81</v>
      </c>
      <c r="M1226" s="132">
        <v>1</v>
      </c>
      <c r="N1226" s="117" t="s">
        <v>39</v>
      </c>
      <c r="O1226" s="133">
        <v>3</v>
      </c>
      <c r="P1226" s="117" t="s">
        <v>41</v>
      </c>
      <c r="Q1226" s="163">
        <f t="shared" ref="Q1226:Q1230" si="614">M1226*O1226</f>
        <v>3</v>
      </c>
      <c r="R1226" s="161">
        <v>0</v>
      </c>
      <c r="S1226" s="163">
        <f t="shared" ref="S1226:S1230" si="615">Q1226+R1226</f>
        <v>3</v>
      </c>
      <c r="T1226" s="165" t="s">
        <v>48</v>
      </c>
    </row>
    <row r="1227" spans="3:20" ht="20.25" customHeight="1">
      <c r="C1227" s="109"/>
      <c r="D1227" s="115">
        <f t="shared" si="564"/>
        <v>1227</v>
      </c>
      <c r="E1227" s="119" t="s">
        <v>607</v>
      </c>
      <c r="F1227" s="121">
        <f t="shared" si="613"/>
        <v>1226</v>
      </c>
      <c r="G1227" s="118" t="s">
        <v>55</v>
      </c>
      <c r="H1227" s="118"/>
      <c r="I1227" s="117"/>
      <c r="J1227" s="117" t="str">
        <f>J1226</f>
        <v>1550 mm id</v>
      </c>
      <c r="K1227" s="131">
        <v>1</v>
      </c>
      <c r="L1227" s="131" t="s">
        <v>81</v>
      </c>
      <c r="M1227" s="132">
        <v>1</v>
      </c>
      <c r="N1227" s="117" t="s">
        <v>39</v>
      </c>
      <c r="O1227" s="133">
        <v>4</v>
      </c>
      <c r="P1227" s="117" t="s">
        <v>41</v>
      </c>
      <c r="Q1227" s="163">
        <f t="shared" si="614"/>
        <v>4</v>
      </c>
      <c r="R1227" s="161">
        <v>0</v>
      </c>
      <c r="S1227" s="163">
        <f t="shared" si="615"/>
        <v>4</v>
      </c>
      <c r="T1227" s="165" t="s">
        <v>48</v>
      </c>
    </row>
    <row r="1228" spans="3:20" ht="20.25" customHeight="1">
      <c r="C1228" s="109"/>
      <c r="D1228" s="115">
        <f t="shared" si="564"/>
        <v>1228</v>
      </c>
      <c r="E1228" s="119" t="s">
        <v>608</v>
      </c>
      <c r="F1228" s="121">
        <f t="shared" si="613"/>
        <v>1227</v>
      </c>
      <c r="G1228" s="118" t="s">
        <v>44</v>
      </c>
      <c r="H1228" s="118"/>
      <c r="I1228" s="117"/>
      <c r="J1228" s="117" t="str">
        <f>J1227</f>
        <v>1550 mm id</v>
      </c>
      <c r="K1228" s="131">
        <v>1</v>
      </c>
      <c r="L1228" s="131" t="s">
        <v>81</v>
      </c>
      <c r="M1228" s="132">
        <v>1</v>
      </c>
      <c r="N1228" s="117" t="s">
        <v>39</v>
      </c>
      <c r="O1228" s="133">
        <v>0.5</v>
      </c>
      <c r="P1228" s="117" t="s">
        <v>41</v>
      </c>
      <c r="Q1228" s="163">
        <f t="shared" si="614"/>
        <v>0.5</v>
      </c>
      <c r="R1228" s="161">
        <v>0</v>
      </c>
      <c r="S1228" s="163">
        <f t="shared" si="615"/>
        <v>0.5</v>
      </c>
      <c r="T1228" s="165" t="s">
        <v>48</v>
      </c>
    </row>
    <row r="1229" spans="3:20" ht="20.25" customHeight="1">
      <c r="C1229" s="109"/>
      <c r="D1229" s="115">
        <f t="shared" si="564"/>
        <v>1229</v>
      </c>
      <c r="E1229" s="119" t="s">
        <v>609</v>
      </c>
      <c r="F1229" s="121">
        <f t="shared" si="613"/>
        <v>1228</v>
      </c>
      <c r="G1229" s="118" t="s">
        <v>55</v>
      </c>
      <c r="H1229" s="118"/>
      <c r="I1229" s="117" t="s">
        <v>610</v>
      </c>
      <c r="J1229" s="117" t="str">
        <f>J1228</f>
        <v>1550 mm id</v>
      </c>
      <c r="K1229" s="131">
        <v>72</v>
      </c>
      <c r="L1229" s="131" t="s">
        <v>611</v>
      </c>
      <c r="M1229" s="132">
        <v>1</v>
      </c>
      <c r="N1229" s="117" t="s">
        <v>39</v>
      </c>
      <c r="O1229" s="133">
        <v>4</v>
      </c>
      <c r="P1229" s="117" t="s">
        <v>41</v>
      </c>
      <c r="Q1229" s="163">
        <f t="shared" si="614"/>
        <v>4</v>
      </c>
      <c r="R1229" s="161">
        <v>0</v>
      </c>
      <c r="S1229" s="163">
        <f t="shared" si="615"/>
        <v>4</v>
      </c>
      <c r="T1229" s="165" t="s">
        <v>48</v>
      </c>
    </row>
    <row r="1230" spans="3:20" ht="20.25" customHeight="1">
      <c r="C1230" s="109"/>
      <c r="D1230" s="115">
        <f t="shared" si="564"/>
        <v>1230</v>
      </c>
      <c r="E1230" s="119" t="s">
        <v>612</v>
      </c>
      <c r="F1230" s="121">
        <f t="shared" si="613"/>
        <v>1229</v>
      </c>
      <c r="G1230" s="118" t="s">
        <v>44</v>
      </c>
      <c r="H1230" s="118"/>
      <c r="I1230" s="117" t="s">
        <v>610</v>
      </c>
      <c r="J1230" s="117" t="str">
        <f>J1229</f>
        <v>1550 mm id</v>
      </c>
      <c r="K1230" s="131">
        <v>1</v>
      </c>
      <c r="L1230" s="154" t="s">
        <v>39</v>
      </c>
      <c r="M1230" s="132">
        <v>1</v>
      </c>
      <c r="N1230" s="117" t="s">
        <v>39</v>
      </c>
      <c r="O1230" s="133">
        <v>1</v>
      </c>
      <c r="P1230" s="117" t="s">
        <v>41</v>
      </c>
      <c r="Q1230" s="163">
        <f t="shared" si="614"/>
        <v>1</v>
      </c>
      <c r="R1230" s="161">
        <v>0</v>
      </c>
      <c r="S1230" s="163">
        <f t="shared" si="615"/>
        <v>1</v>
      </c>
      <c r="T1230" s="165" t="s">
        <v>48</v>
      </c>
    </row>
    <row r="1231" spans="3:20" ht="20.25" customHeight="1">
      <c r="C1231" s="109">
        <f t="shared" ref="C1231:C1232" si="616">D1231</f>
        <v>1231</v>
      </c>
      <c r="D1231" s="115">
        <f t="shared" si="564"/>
        <v>1231</v>
      </c>
      <c r="E1231" s="176" t="s">
        <v>613</v>
      </c>
      <c r="F1231" s="125"/>
      <c r="G1231" s="118"/>
      <c r="H1231" s="118"/>
      <c r="I1231" s="117"/>
      <c r="J1231" s="117"/>
      <c r="K1231" s="131"/>
      <c r="L1231" s="131"/>
      <c r="M1231" s="132"/>
      <c r="N1231" s="117"/>
      <c r="O1231" s="133"/>
      <c r="P1231" s="117"/>
      <c r="Q1231" s="163"/>
      <c r="R1231" s="161"/>
      <c r="S1231" s="163"/>
      <c r="T1231" s="165"/>
    </row>
    <row r="1232" spans="3:20" ht="20.25" customHeight="1">
      <c r="C1232" s="109">
        <f t="shared" si="616"/>
        <v>1232</v>
      </c>
      <c r="D1232" s="115">
        <f t="shared" si="564"/>
        <v>1232</v>
      </c>
      <c r="E1232" s="116" t="s">
        <v>614</v>
      </c>
      <c r="F1232" s="121"/>
      <c r="G1232" s="118"/>
      <c r="H1232" s="118"/>
      <c r="I1232" s="117"/>
      <c r="J1232" s="117"/>
      <c r="K1232" s="131"/>
      <c r="L1232" s="131"/>
      <c r="M1232" s="132"/>
      <c r="N1232" s="117"/>
      <c r="O1232" s="133"/>
      <c r="P1232" s="117"/>
      <c r="Q1232" s="163"/>
      <c r="R1232" s="161"/>
      <c r="S1232" s="163"/>
      <c r="T1232" s="165"/>
    </row>
    <row r="1233" spans="3:20" ht="20.25" customHeight="1">
      <c r="C1233" s="109"/>
      <c r="D1233" s="115">
        <f t="shared" si="564"/>
        <v>1233</v>
      </c>
      <c r="E1233" s="119" t="s">
        <v>615</v>
      </c>
      <c r="F1233" s="121">
        <f t="shared" ref="F1233:F1234" si="617">D1232</f>
        <v>1232</v>
      </c>
      <c r="G1233" s="118" t="s">
        <v>616</v>
      </c>
      <c r="H1233" s="118"/>
      <c r="I1233" s="117" t="s">
        <v>617</v>
      </c>
      <c r="J1233" s="145" t="s">
        <v>618</v>
      </c>
      <c r="K1233" s="131"/>
      <c r="L1233" s="131"/>
      <c r="M1233" s="132">
        <v>1</v>
      </c>
      <c r="N1233" s="117"/>
      <c r="O1233" s="133">
        <v>1.5</v>
      </c>
      <c r="P1233" s="117" t="s">
        <v>41</v>
      </c>
      <c r="Q1233" s="163">
        <f t="shared" ref="Q1233:Q1234" si="618">M1233*O1233</f>
        <v>1.5</v>
      </c>
      <c r="R1233" s="161">
        <v>0</v>
      </c>
      <c r="S1233" s="163">
        <f t="shared" ref="S1233:S1234" si="619">Q1233+R1233</f>
        <v>1.5</v>
      </c>
      <c r="T1233" s="165" t="s">
        <v>48</v>
      </c>
    </row>
    <row r="1234" spans="3:20" ht="20.25" customHeight="1">
      <c r="C1234" s="109"/>
      <c r="D1234" s="115">
        <f t="shared" si="564"/>
        <v>1234</v>
      </c>
      <c r="E1234" s="119" t="s">
        <v>619</v>
      </c>
      <c r="F1234" s="121">
        <f t="shared" si="617"/>
        <v>1233</v>
      </c>
      <c r="G1234" s="118" t="s">
        <v>620</v>
      </c>
      <c r="H1234" s="118"/>
      <c r="I1234" s="117"/>
      <c r="J1234" s="145" t="s">
        <v>621</v>
      </c>
      <c r="K1234" s="131">
        <v>1</v>
      </c>
      <c r="L1234" s="131" t="s">
        <v>81</v>
      </c>
      <c r="M1234" s="132">
        <v>19</v>
      </c>
      <c r="N1234" s="117" t="s">
        <v>81</v>
      </c>
      <c r="O1234" s="133">
        <v>0.5</v>
      </c>
      <c r="P1234" s="117" t="s">
        <v>112</v>
      </c>
      <c r="Q1234" s="163">
        <f t="shared" si="618"/>
        <v>9.5</v>
      </c>
      <c r="R1234" s="161">
        <v>1</v>
      </c>
      <c r="S1234" s="163">
        <f t="shared" si="619"/>
        <v>10.5</v>
      </c>
      <c r="T1234" s="165" t="s">
        <v>48</v>
      </c>
    </row>
    <row r="1235" spans="3:20" ht="20.25" customHeight="1">
      <c r="C1235" s="109">
        <f>D1235</f>
        <v>1235</v>
      </c>
      <c r="D1235" s="115">
        <f t="shared" ref="D1235:D1271" si="620">D1234+1</f>
        <v>1235</v>
      </c>
      <c r="E1235" s="116" t="s">
        <v>622</v>
      </c>
      <c r="F1235" s="121">
        <f>D1232</f>
        <v>1232</v>
      </c>
      <c r="G1235" s="118"/>
      <c r="H1235" s="118"/>
      <c r="I1235" s="117"/>
      <c r="J1235" s="117"/>
      <c r="K1235" s="131"/>
      <c r="L1235" s="131"/>
      <c r="M1235" s="132"/>
      <c r="N1235" s="117"/>
      <c r="O1235" s="133"/>
      <c r="P1235" s="117"/>
      <c r="Q1235" s="163"/>
      <c r="R1235" s="161"/>
      <c r="S1235" s="163"/>
      <c r="T1235" s="165"/>
    </row>
    <row r="1236" spans="3:20" ht="20.25" customHeight="1">
      <c r="C1236" s="109"/>
      <c r="D1236" s="115">
        <f t="shared" si="620"/>
        <v>1236</v>
      </c>
      <c r="E1236" s="119" t="s">
        <v>622</v>
      </c>
      <c r="F1236" s="121">
        <f t="shared" ref="F1236:F1238" si="621">D1235</f>
        <v>1235</v>
      </c>
      <c r="G1236" s="118" t="s">
        <v>623</v>
      </c>
      <c r="H1236" s="118"/>
      <c r="I1236" s="145" t="s">
        <v>266</v>
      </c>
      <c r="J1236" s="145" t="s">
        <v>624</v>
      </c>
      <c r="K1236" s="131">
        <v>654</v>
      </c>
      <c r="L1236" s="131" t="s">
        <v>81</v>
      </c>
      <c r="M1236" s="155">
        <f>K1236</f>
        <v>654</v>
      </c>
      <c r="N1236" s="117" t="s">
        <v>81</v>
      </c>
      <c r="O1236" s="175">
        <f>1/60*5</f>
        <v>8.3333333333333329E-2</v>
      </c>
      <c r="P1236" s="117" t="s">
        <v>87</v>
      </c>
      <c r="Q1236" s="163">
        <f t="shared" ref="Q1236:Q1238" si="622">M1236*O1236</f>
        <v>54.5</v>
      </c>
      <c r="R1236" s="161">
        <v>1</v>
      </c>
      <c r="S1236" s="163">
        <f t="shared" ref="S1236:S1238" si="623">Q1236+R1236</f>
        <v>55.5</v>
      </c>
      <c r="T1236" s="165" t="s">
        <v>48</v>
      </c>
    </row>
    <row r="1237" spans="3:20" ht="20.25" customHeight="1">
      <c r="C1237" s="109"/>
      <c r="D1237" s="115">
        <f t="shared" si="620"/>
        <v>1237</v>
      </c>
      <c r="E1237" s="119" t="s">
        <v>625</v>
      </c>
      <c r="F1237" s="121">
        <f t="shared" si="621"/>
        <v>1236</v>
      </c>
      <c r="G1237" s="118" t="s">
        <v>626</v>
      </c>
      <c r="H1237" s="118"/>
      <c r="I1237" s="145" t="s">
        <v>266</v>
      </c>
      <c r="J1237" s="145" t="s">
        <v>627</v>
      </c>
      <c r="K1237" s="131">
        <v>14</v>
      </c>
      <c r="L1237" s="131" t="s">
        <v>81</v>
      </c>
      <c r="M1237" s="155">
        <f>K1237</f>
        <v>14</v>
      </c>
      <c r="N1237" s="117" t="s">
        <v>81</v>
      </c>
      <c r="O1237" s="175">
        <v>0.5</v>
      </c>
      <c r="P1237" s="117" t="s">
        <v>87</v>
      </c>
      <c r="Q1237" s="163">
        <f t="shared" si="622"/>
        <v>7</v>
      </c>
      <c r="R1237" s="161">
        <v>1</v>
      </c>
      <c r="S1237" s="163">
        <f t="shared" si="623"/>
        <v>8</v>
      </c>
      <c r="T1237" s="165" t="s">
        <v>48</v>
      </c>
    </row>
    <row r="1238" spans="3:20" ht="20.25" customHeight="1">
      <c r="C1238" s="109"/>
      <c r="D1238" s="115">
        <f t="shared" si="620"/>
        <v>1238</v>
      </c>
      <c r="E1238" s="119" t="s">
        <v>622</v>
      </c>
      <c r="F1238" s="121">
        <f t="shared" si="621"/>
        <v>1237</v>
      </c>
      <c r="G1238" s="118" t="s">
        <v>623</v>
      </c>
      <c r="H1238" s="118"/>
      <c r="I1238" s="145" t="s">
        <v>266</v>
      </c>
      <c r="J1238" s="117" t="str">
        <f>J1236</f>
        <v>7000 lg</v>
      </c>
      <c r="K1238" s="131">
        <v>654</v>
      </c>
      <c r="L1238" s="131" t="s">
        <v>81</v>
      </c>
      <c r="M1238" s="155">
        <f>K1238</f>
        <v>654</v>
      </c>
      <c r="N1238" s="117" t="s">
        <v>81</v>
      </c>
      <c r="O1238" s="175">
        <f>1/60*5</f>
        <v>8.3333333333333329E-2</v>
      </c>
      <c r="P1238" s="117" t="s">
        <v>87</v>
      </c>
      <c r="Q1238" s="163">
        <f t="shared" si="622"/>
        <v>54.5</v>
      </c>
      <c r="R1238" s="161">
        <v>1</v>
      </c>
      <c r="S1238" s="163">
        <f t="shared" si="623"/>
        <v>55.5</v>
      </c>
      <c r="T1238" s="165" t="s">
        <v>48</v>
      </c>
    </row>
    <row r="1239" spans="3:20" ht="20.25" customHeight="1">
      <c r="C1239" s="109">
        <f>D1239</f>
        <v>1239</v>
      </c>
      <c r="D1239" s="115">
        <f t="shared" si="620"/>
        <v>1239</v>
      </c>
      <c r="E1239" s="116" t="s">
        <v>628</v>
      </c>
      <c r="F1239" s="121">
        <f>D1235</f>
        <v>1235</v>
      </c>
      <c r="G1239" s="118"/>
      <c r="H1239" s="118"/>
      <c r="I1239" s="117"/>
      <c r="J1239" s="117"/>
      <c r="K1239" s="131"/>
      <c r="L1239" s="131"/>
      <c r="M1239" s="132"/>
      <c r="N1239" s="117"/>
      <c r="O1239" s="133"/>
      <c r="P1239" s="117"/>
      <c r="Q1239" s="163"/>
      <c r="R1239" s="161"/>
      <c r="S1239" s="163"/>
      <c r="T1239" s="165"/>
    </row>
    <row r="1240" spans="3:20" ht="20.25" customHeight="1">
      <c r="C1240" s="109"/>
      <c r="D1240" s="115">
        <f t="shared" si="620"/>
        <v>1240</v>
      </c>
      <c r="E1240" s="119" t="s">
        <v>629</v>
      </c>
      <c r="F1240" s="121">
        <f t="shared" ref="F1240:F1242" si="624">D1239</f>
        <v>1239</v>
      </c>
      <c r="G1240" s="118" t="s">
        <v>44</v>
      </c>
      <c r="H1240" s="118"/>
      <c r="I1240" s="117">
        <v>8</v>
      </c>
      <c r="J1240" s="145" t="s">
        <v>630</v>
      </c>
      <c r="K1240" s="131">
        <v>2</v>
      </c>
      <c r="L1240" s="131" t="s">
        <v>81</v>
      </c>
      <c r="M1240" s="132">
        <v>2</v>
      </c>
      <c r="N1240" s="117" t="s">
        <v>81</v>
      </c>
      <c r="O1240" s="175">
        <v>3</v>
      </c>
      <c r="P1240" s="117" t="s">
        <v>87</v>
      </c>
      <c r="Q1240" s="163">
        <f t="shared" ref="Q1240:Q1242" si="625">M1240*O1240</f>
        <v>6</v>
      </c>
      <c r="R1240" s="161">
        <v>1</v>
      </c>
      <c r="S1240" s="163">
        <f t="shared" ref="S1240:S1242" si="626">Q1240+R1240</f>
        <v>7</v>
      </c>
      <c r="T1240" s="165" t="s">
        <v>48</v>
      </c>
    </row>
    <row r="1241" spans="3:20" ht="20.25" customHeight="1">
      <c r="C1241" s="109"/>
      <c r="D1241" s="115">
        <f t="shared" si="620"/>
        <v>1241</v>
      </c>
      <c r="E1241" s="119" t="s">
        <v>631</v>
      </c>
      <c r="F1241" s="121">
        <f t="shared" si="624"/>
        <v>1240</v>
      </c>
      <c r="G1241" s="118" t="s">
        <v>115</v>
      </c>
      <c r="H1241" s="118"/>
      <c r="I1241" s="117">
        <v>8</v>
      </c>
      <c r="J1241" s="145" t="s">
        <v>632</v>
      </c>
      <c r="K1241" s="131">
        <v>1</v>
      </c>
      <c r="L1241" s="154" t="s">
        <v>84</v>
      </c>
      <c r="M1241" s="141" t="str">
        <f>LEFT(J1241,SEARCH(" ",J1241,1)-1)</f>
        <v>60</v>
      </c>
      <c r="N1241" s="145" t="s">
        <v>633</v>
      </c>
      <c r="O1241" s="175">
        <v>0.25</v>
      </c>
      <c r="P1241" s="117" t="s">
        <v>87</v>
      </c>
      <c r="Q1241" s="163">
        <f t="shared" si="625"/>
        <v>15</v>
      </c>
      <c r="R1241" s="161">
        <v>1</v>
      </c>
      <c r="S1241" s="163">
        <f t="shared" si="626"/>
        <v>16</v>
      </c>
      <c r="T1241" s="165" t="s">
        <v>48</v>
      </c>
    </row>
    <row r="1242" spans="3:20" ht="20.25" customHeight="1">
      <c r="C1242" s="109"/>
      <c r="D1242" s="115">
        <f t="shared" si="620"/>
        <v>1242</v>
      </c>
      <c r="E1242" s="122" t="s">
        <v>776</v>
      </c>
      <c r="F1242" s="121">
        <f t="shared" si="624"/>
        <v>1241</v>
      </c>
      <c r="G1242" s="118" t="s">
        <v>61</v>
      </c>
      <c r="H1242" s="118"/>
      <c r="I1242" s="117">
        <v>1500</v>
      </c>
      <c r="J1242" s="117" t="str">
        <f>J1241</f>
        <v>60 joints</v>
      </c>
      <c r="K1242" s="131">
        <v>1</v>
      </c>
      <c r="L1242" s="154" t="s">
        <v>84</v>
      </c>
      <c r="M1242" s="141" t="str">
        <f>LEFT(J1242,SEARCH(" ",J1242,1)-1)</f>
        <v>60</v>
      </c>
      <c r="N1242" s="145" t="s">
        <v>633</v>
      </c>
      <c r="O1242" s="175">
        <f>VLOOKUP(I1242,BM!$A$2:$X$104,9,FALSE)</f>
        <v>0.25</v>
      </c>
      <c r="P1242" s="117" t="s">
        <v>87</v>
      </c>
      <c r="Q1242" s="163">
        <f t="shared" si="625"/>
        <v>15</v>
      </c>
      <c r="R1242" s="161">
        <v>1</v>
      </c>
      <c r="S1242" s="163">
        <f t="shared" si="626"/>
        <v>16</v>
      </c>
      <c r="T1242" s="165" t="s">
        <v>48</v>
      </c>
    </row>
    <row r="1243" spans="3:20" ht="20.25" customHeight="1">
      <c r="C1243" s="109">
        <f>D1243</f>
        <v>1243</v>
      </c>
      <c r="D1243" s="115">
        <f t="shared" si="620"/>
        <v>1243</v>
      </c>
      <c r="E1243" s="116" t="s">
        <v>635</v>
      </c>
      <c r="F1243" s="121">
        <f>D1239</f>
        <v>1239</v>
      </c>
      <c r="G1243" s="118"/>
      <c r="H1243" s="118"/>
      <c r="I1243" s="117"/>
      <c r="J1243" s="117"/>
      <c r="K1243" s="131"/>
      <c r="L1243" s="131"/>
      <c r="M1243" s="132"/>
      <c r="N1243" s="117"/>
      <c r="O1243" s="133"/>
      <c r="P1243" s="117"/>
      <c r="Q1243" s="163"/>
      <c r="R1243" s="161"/>
      <c r="S1243" s="163"/>
      <c r="T1243" s="165"/>
    </row>
    <row r="1244" spans="3:20" ht="20.25" customHeight="1">
      <c r="C1244" s="109"/>
      <c r="D1244" s="115">
        <f t="shared" si="620"/>
        <v>1244</v>
      </c>
      <c r="E1244" s="119" t="s">
        <v>636</v>
      </c>
      <c r="F1244" s="121">
        <f t="shared" ref="F1244:F1246" si="627">D1243</f>
        <v>1243</v>
      </c>
      <c r="G1244" s="118" t="s">
        <v>637</v>
      </c>
      <c r="H1244" s="118"/>
      <c r="I1244" s="117"/>
      <c r="J1244" s="117" t="s">
        <v>638</v>
      </c>
      <c r="K1244" s="131">
        <v>1</v>
      </c>
      <c r="L1244" s="131" t="s">
        <v>81</v>
      </c>
      <c r="M1244" s="132">
        <v>1</v>
      </c>
      <c r="N1244" s="117" t="s">
        <v>81</v>
      </c>
      <c r="O1244" s="133">
        <v>16</v>
      </c>
      <c r="P1244" s="117" t="s">
        <v>87</v>
      </c>
      <c r="Q1244" s="163">
        <f t="shared" ref="Q1244:Q1246" si="628">M1244*O1244</f>
        <v>16</v>
      </c>
      <c r="R1244" s="161">
        <v>1</v>
      </c>
      <c r="S1244" s="163">
        <f t="shared" ref="S1244:S1246" si="629">Q1244+R1244</f>
        <v>17</v>
      </c>
      <c r="T1244" s="165" t="s">
        <v>48</v>
      </c>
    </row>
    <row r="1245" spans="3:20" ht="20.25" customHeight="1">
      <c r="C1245" s="109"/>
      <c r="D1245" s="115">
        <f t="shared" si="620"/>
        <v>1245</v>
      </c>
      <c r="E1245" s="119" t="s">
        <v>639</v>
      </c>
      <c r="F1245" s="121">
        <f t="shared" si="627"/>
        <v>1244</v>
      </c>
      <c r="G1245" s="118" t="s">
        <v>640</v>
      </c>
      <c r="H1245" s="118"/>
      <c r="I1245" s="117" t="s">
        <v>641</v>
      </c>
      <c r="J1245" s="117"/>
      <c r="K1245" s="131">
        <v>1</v>
      </c>
      <c r="L1245" s="131" t="s">
        <v>81</v>
      </c>
      <c r="M1245" s="132">
        <v>1</v>
      </c>
      <c r="N1245" s="117" t="s">
        <v>81</v>
      </c>
      <c r="O1245" s="133">
        <v>4</v>
      </c>
      <c r="P1245" s="117" t="s">
        <v>87</v>
      </c>
      <c r="Q1245" s="163">
        <f t="shared" si="628"/>
        <v>4</v>
      </c>
      <c r="R1245" s="161">
        <v>1</v>
      </c>
      <c r="S1245" s="163">
        <f t="shared" si="629"/>
        <v>5</v>
      </c>
      <c r="T1245" s="165" t="s">
        <v>48</v>
      </c>
    </row>
    <row r="1246" spans="3:20" ht="20.25" customHeight="1">
      <c r="C1246" s="109"/>
      <c r="D1246" s="115">
        <f t="shared" si="620"/>
        <v>1246</v>
      </c>
      <c r="E1246" s="119" t="s">
        <v>642</v>
      </c>
      <c r="F1246" s="121">
        <f t="shared" si="627"/>
        <v>1245</v>
      </c>
      <c r="G1246" s="118" t="s">
        <v>643</v>
      </c>
      <c r="H1246" s="118"/>
      <c r="I1246" s="117" t="s">
        <v>644</v>
      </c>
      <c r="J1246" s="117">
        <v>1490</v>
      </c>
      <c r="K1246" s="131">
        <v>1</v>
      </c>
      <c r="L1246" s="131" t="s">
        <v>81</v>
      </c>
      <c r="M1246" s="132">
        <v>56</v>
      </c>
      <c r="N1246" s="117" t="s">
        <v>645</v>
      </c>
      <c r="O1246" s="175">
        <f>1/60*10</f>
        <v>0.16666666666666666</v>
      </c>
      <c r="P1246" s="117" t="s">
        <v>112</v>
      </c>
      <c r="Q1246" s="163">
        <f t="shared" si="628"/>
        <v>9.3333333333333321</v>
      </c>
      <c r="R1246" s="161">
        <v>1</v>
      </c>
      <c r="S1246" s="163">
        <f t="shared" si="629"/>
        <v>10.333333333333332</v>
      </c>
      <c r="T1246" s="165" t="s">
        <v>48</v>
      </c>
    </row>
    <row r="1247" spans="3:20" ht="20.25" customHeight="1">
      <c r="C1247" s="109">
        <f>D1247</f>
        <v>1247</v>
      </c>
      <c r="D1247" s="115">
        <f t="shared" si="620"/>
        <v>1247</v>
      </c>
      <c r="E1247" s="116" t="s">
        <v>646</v>
      </c>
      <c r="F1247" s="121">
        <f>D1243</f>
        <v>1243</v>
      </c>
      <c r="G1247" s="118"/>
      <c r="H1247" s="118"/>
      <c r="I1247" s="117"/>
      <c r="J1247" s="117"/>
      <c r="K1247" s="131"/>
      <c r="L1247" s="131"/>
      <c r="M1247" s="132"/>
      <c r="N1247" s="117"/>
      <c r="O1247" s="133"/>
      <c r="P1247" s="117"/>
      <c r="Q1247" s="163"/>
      <c r="R1247" s="161"/>
      <c r="S1247" s="163"/>
      <c r="T1247" s="165"/>
    </row>
    <row r="1248" spans="3:20" ht="20.25" customHeight="1">
      <c r="C1248" s="109"/>
      <c r="D1248" s="115">
        <f t="shared" si="620"/>
        <v>1248</v>
      </c>
      <c r="E1248" s="119" t="s">
        <v>647</v>
      </c>
      <c r="F1248" s="121">
        <f t="shared" ref="F1248:F1251" si="630">D1247</f>
        <v>1247</v>
      </c>
      <c r="G1248" s="118" t="s">
        <v>201</v>
      </c>
      <c r="H1248" s="118"/>
      <c r="I1248" s="117" t="s">
        <v>648</v>
      </c>
      <c r="J1248" s="145" t="s">
        <v>649</v>
      </c>
      <c r="K1248" s="131">
        <v>1308</v>
      </c>
      <c r="L1248" s="131" t="s">
        <v>81</v>
      </c>
      <c r="M1248" s="141" t="str">
        <f>LEFT(J1248,SEARCH(" ",J1248,1)-1)</f>
        <v>1308</v>
      </c>
      <c r="N1248" s="117" t="s">
        <v>650</v>
      </c>
      <c r="O1248" s="175">
        <f>1/60*1</f>
        <v>1.6666666666666666E-2</v>
      </c>
      <c r="P1248" s="117" t="s">
        <v>112</v>
      </c>
      <c r="Q1248" s="163">
        <f t="shared" ref="Q1248:Q1251" si="631">M1248*O1248</f>
        <v>21.8</v>
      </c>
      <c r="R1248" s="161">
        <v>1</v>
      </c>
      <c r="S1248" s="163">
        <f t="shared" ref="S1248:S1251" si="632">Q1248+R1248</f>
        <v>22.8</v>
      </c>
      <c r="T1248" s="165" t="s">
        <v>48</v>
      </c>
    </row>
    <row r="1249" spans="3:20" ht="20.25" customHeight="1">
      <c r="C1249" s="109"/>
      <c r="D1249" s="115">
        <f t="shared" si="620"/>
        <v>1249</v>
      </c>
      <c r="E1249" s="119" t="s">
        <v>651</v>
      </c>
      <c r="F1249" s="121">
        <f t="shared" si="630"/>
        <v>1248</v>
      </c>
      <c r="G1249" s="118" t="s">
        <v>201</v>
      </c>
      <c r="H1249" s="118"/>
      <c r="I1249" s="145" t="s">
        <v>652</v>
      </c>
      <c r="J1249" s="145" t="s">
        <v>649</v>
      </c>
      <c r="K1249" s="131">
        <v>1308</v>
      </c>
      <c r="L1249" s="131" t="s">
        <v>81</v>
      </c>
      <c r="M1249" s="141" t="str">
        <f>LEFT(J1249,SEARCH(" ",J1249,1)-1)</f>
        <v>1308</v>
      </c>
      <c r="N1249" s="117" t="s">
        <v>650</v>
      </c>
      <c r="O1249" s="175">
        <f>1/60*0.5</f>
        <v>8.3333333333333332E-3</v>
      </c>
      <c r="P1249" s="117" t="s">
        <v>112</v>
      </c>
      <c r="Q1249" s="163">
        <f t="shared" si="631"/>
        <v>10.9</v>
      </c>
      <c r="R1249" s="161">
        <v>1</v>
      </c>
      <c r="S1249" s="163">
        <f t="shared" si="632"/>
        <v>11.9</v>
      </c>
      <c r="T1249" s="165" t="s">
        <v>48</v>
      </c>
    </row>
    <row r="1250" spans="3:20" ht="20.25" customHeight="1">
      <c r="C1250" s="109"/>
      <c r="D1250" s="115">
        <f t="shared" si="620"/>
        <v>1250</v>
      </c>
      <c r="E1250" s="119" t="s">
        <v>653</v>
      </c>
      <c r="F1250" s="121">
        <f t="shared" si="630"/>
        <v>1249</v>
      </c>
      <c r="G1250" s="118" t="s">
        <v>44</v>
      </c>
      <c r="H1250" s="118"/>
      <c r="I1250" s="145" t="s">
        <v>652</v>
      </c>
      <c r="J1250" s="145" t="s">
        <v>649</v>
      </c>
      <c r="K1250" s="131">
        <v>1308</v>
      </c>
      <c r="L1250" s="131" t="s">
        <v>81</v>
      </c>
      <c r="M1250" s="141" t="str">
        <f>LEFT(J1250,SEARCH(" ",J1250,1)-1)</f>
        <v>1308</v>
      </c>
      <c r="N1250" s="117" t="s">
        <v>654</v>
      </c>
      <c r="O1250" s="175">
        <f>1/60*2</f>
        <v>3.3333333333333333E-2</v>
      </c>
      <c r="P1250" s="117" t="s">
        <v>112</v>
      </c>
      <c r="Q1250" s="163">
        <f t="shared" si="631"/>
        <v>43.6</v>
      </c>
      <c r="R1250" s="161">
        <v>1</v>
      </c>
      <c r="S1250" s="163">
        <f t="shared" si="632"/>
        <v>44.6</v>
      </c>
      <c r="T1250" s="165" t="s">
        <v>48</v>
      </c>
    </row>
    <row r="1251" spans="3:20" ht="20.25" customHeight="1">
      <c r="C1251" s="109"/>
      <c r="D1251" s="115">
        <f t="shared" si="620"/>
        <v>1251</v>
      </c>
      <c r="E1251" s="119" t="s">
        <v>655</v>
      </c>
      <c r="F1251" s="121">
        <f t="shared" si="630"/>
        <v>1250</v>
      </c>
      <c r="G1251" s="118" t="s">
        <v>656</v>
      </c>
      <c r="H1251" s="118"/>
      <c r="I1251" s="117" t="s">
        <v>657</v>
      </c>
      <c r="J1251" s="145" t="s">
        <v>658</v>
      </c>
      <c r="K1251" s="177">
        <v>2616</v>
      </c>
      <c r="L1251" s="131" t="s">
        <v>81</v>
      </c>
      <c r="M1251" s="141" t="str">
        <f>LEFT(J1251,SEARCH(" ",J1251,1)-1)</f>
        <v>2616</v>
      </c>
      <c r="N1251" s="117" t="s">
        <v>650</v>
      </c>
      <c r="O1251" s="175">
        <f>1/60*0.5</f>
        <v>8.3333333333333332E-3</v>
      </c>
      <c r="P1251" s="117" t="s">
        <v>112</v>
      </c>
      <c r="Q1251" s="163">
        <f t="shared" si="631"/>
        <v>21.8</v>
      </c>
      <c r="R1251" s="161">
        <v>1</v>
      </c>
      <c r="S1251" s="163">
        <f t="shared" si="632"/>
        <v>22.8</v>
      </c>
      <c r="T1251" s="165" t="s">
        <v>48</v>
      </c>
    </row>
    <row r="1252" spans="3:20" ht="20.25" customHeight="1">
      <c r="C1252" s="109">
        <f>D1252</f>
        <v>1252</v>
      </c>
      <c r="D1252" s="115">
        <f t="shared" si="620"/>
        <v>1252</v>
      </c>
      <c r="E1252" s="116" t="s">
        <v>659</v>
      </c>
      <c r="F1252" s="121">
        <f>D1247</f>
        <v>1247</v>
      </c>
      <c r="G1252" s="118"/>
      <c r="H1252" s="118"/>
      <c r="I1252" s="117"/>
      <c r="J1252" s="117"/>
      <c r="K1252" s="131"/>
      <c r="L1252" s="131"/>
      <c r="M1252" s="132"/>
      <c r="N1252" s="117"/>
      <c r="O1252" s="133"/>
      <c r="P1252" s="117"/>
      <c r="Q1252" s="163"/>
      <c r="R1252" s="161"/>
      <c r="S1252" s="163"/>
      <c r="T1252" s="165"/>
    </row>
    <row r="1253" spans="3:20" ht="20.25" customHeight="1">
      <c r="C1253" s="109"/>
      <c r="D1253" s="115">
        <f t="shared" si="620"/>
        <v>1253</v>
      </c>
      <c r="E1253" s="119" t="s">
        <v>660</v>
      </c>
      <c r="F1253" s="121">
        <f t="shared" ref="F1253:F1255" si="633">D1252</f>
        <v>1252</v>
      </c>
      <c r="G1253" s="118" t="s">
        <v>656</v>
      </c>
      <c r="H1253" s="118"/>
      <c r="I1253" s="117"/>
      <c r="J1253" s="117"/>
      <c r="K1253" s="131">
        <v>1</v>
      </c>
      <c r="L1253" s="131" t="s">
        <v>39</v>
      </c>
      <c r="M1253" s="132">
        <v>1</v>
      </c>
      <c r="N1253" s="117" t="s">
        <v>661</v>
      </c>
      <c r="O1253" s="133">
        <v>4</v>
      </c>
      <c r="P1253" s="117" t="s">
        <v>112</v>
      </c>
      <c r="Q1253" s="163">
        <f t="shared" ref="Q1253:Q1255" si="634">M1253*O1253</f>
        <v>4</v>
      </c>
      <c r="R1253" s="161">
        <v>1</v>
      </c>
      <c r="S1253" s="163">
        <f t="shared" ref="S1253:S1255" si="635">Q1253+R1253</f>
        <v>5</v>
      </c>
      <c r="T1253" s="165" t="s">
        <v>48</v>
      </c>
    </row>
    <row r="1254" spans="3:20" ht="20.25" customHeight="1">
      <c r="C1254" s="109"/>
      <c r="D1254" s="115">
        <f t="shared" si="620"/>
        <v>1254</v>
      </c>
      <c r="E1254" s="119" t="s">
        <v>662</v>
      </c>
      <c r="F1254" s="121">
        <f t="shared" si="633"/>
        <v>1253</v>
      </c>
      <c r="G1254" s="118" t="s">
        <v>44</v>
      </c>
      <c r="H1254" s="118"/>
      <c r="I1254" s="117"/>
      <c r="J1254" s="117"/>
      <c r="K1254" s="131">
        <v>1</v>
      </c>
      <c r="L1254" s="131" t="s">
        <v>39</v>
      </c>
      <c r="M1254" s="132">
        <v>1</v>
      </c>
      <c r="N1254" s="117" t="s">
        <v>661</v>
      </c>
      <c r="O1254" s="133">
        <v>1</v>
      </c>
      <c r="P1254" s="117" t="s">
        <v>41</v>
      </c>
      <c r="Q1254" s="163">
        <f t="shared" si="634"/>
        <v>1</v>
      </c>
      <c r="R1254" s="161"/>
      <c r="S1254" s="163">
        <f t="shared" si="635"/>
        <v>1</v>
      </c>
      <c r="T1254" s="165" t="s">
        <v>48</v>
      </c>
    </row>
    <row r="1255" spans="3:20" ht="20.25" customHeight="1">
      <c r="C1255" s="109"/>
      <c r="D1255" s="115">
        <f t="shared" si="620"/>
        <v>1255</v>
      </c>
      <c r="E1255" s="119" t="s">
        <v>663</v>
      </c>
      <c r="F1255" s="121">
        <f t="shared" si="633"/>
        <v>1254</v>
      </c>
      <c r="G1255" s="118" t="s">
        <v>224</v>
      </c>
      <c r="H1255" s="118"/>
      <c r="I1255" s="117"/>
      <c r="J1255" s="117"/>
      <c r="K1255" s="131">
        <v>1</v>
      </c>
      <c r="L1255" s="131" t="s">
        <v>39</v>
      </c>
      <c r="M1255" s="132">
        <v>1</v>
      </c>
      <c r="N1255" s="117" t="s">
        <v>39</v>
      </c>
      <c r="O1255" s="133">
        <v>1</v>
      </c>
      <c r="P1255" s="117" t="s">
        <v>162</v>
      </c>
      <c r="Q1255" s="163">
        <f t="shared" si="634"/>
        <v>1</v>
      </c>
      <c r="R1255" s="161"/>
      <c r="S1255" s="163">
        <f t="shared" si="635"/>
        <v>1</v>
      </c>
      <c r="T1255" s="165" t="s">
        <v>48</v>
      </c>
    </row>
    <row r="1256" spans="3:20" ht="20.25" customHeight="1">
      <c r="C1256" s="109">
        <f>D1256</f>
        <v>1256</v>
      </c>
      <c r="D1256" s="115">
        <f t="shared" si="620"/>
        <v>1256</v>
      </c>
      <c r="E1256" s="116" t="s">
        <v>704</v>
      </c>
      <c r="F1256" s="121">
        <f>D1252</f>
        <v>1252</v>
      </c>
      <c r="G1256" s="118"/>
      <c r="H1256" s="118"/>
      <c r="I1256" s="117"/>
      <c r="J1256" s="117"/>
      <c r="K1256" s="131"/>
      <c r="L1256" s="131"/>
      <c r="M1256" s="132"/>
      <c r="N1256" s="117"/>
      <c r="O1256" s="133"/>
      <c r="P1256" s="117"/>
      <c r="Q1256" s="163"/>
      <c r="R1256" s="161"/>
      <c r="S1256" s="163"/>
      <c r="T1256" s="165"/>
    </row>
    <row r="1257" spans="3:20" ht="20.25" customHeight="1">
      <c r="C1257" s="109"/>
      <c r="D1257" s="115">
        <f t="shared" si="620"/>
        <v>1257</v>
      </c>
      <c r="E1257" s="119" t="s">
        <v>705</v>
      </c>
      <c r="F1257" s="121">
        <f t="shared" ref="F1257:F1260" si="636">D1256</f>
        <v>1256</v>
      </c>
      <c r="G1257" s="118" t="s">
        <v>666</v>
      </c>
      <c r="H1257" s="118"/>
      <c r="I1257" s="117">
        <v>2.77</v>
      </c>
      <c r="J1257" s="145" t="s">
        <v>667</v>
      </c>
      <c r="K1257" s="131">
        <v>1308</v>
      </c>
      <c r="L1257" s="131" t="s">
        <v>81</v>
      </c>
      <c r="M1257" s="155">
        <f>K1257</f>
        <v>1308</v>
      </c>
      <c r="N1257" s="117" t="s">
        <v>668</v>
      </c>
      <c r="O1257" s="175">
        <f>1/60*5</f>
        <v>8.3333333333333329E-2</v>
      </c>
      <c r="P1257" s="117" t="s">
        <v>112</v>
      </c>
      <c r="Q1257" s="163">
        <f t="shared" ref="Q1257:Q1260" si="637">M1257*O1257</f>
        <v>109</v>
      </c>
      <c r="R1257" s="161">
        <v>1</v>
      </c>
      <c r="S1257" s="163">
        <f t="shared" ref="S1257:S1260" si="638">Q1257+R1257</f>
        <v>110</v>
      </c>
      <c r="T1257" s="165" t="s">
        <v>48</v>
      </c>
    </row>
    <row r="1258" spans="3:20" ht="20.25" customHeight="1">
      <c r="C1258" s="109"/>
      <c r="D1258" s="115">
        <f t="shared" si="620"/>
        <v>1258</v>
      </c>
      <c r="E1258" s="119" t="s">
        <v>706</v>
      </c>
      <c r="F1258" s="121">
        <f t="shared" si="636"/>
        <v>1257</v>
      </c>
      <c r="G1258" s="118" t="s">
        <v>44</v>
      </c>
      <c r="H1258" s="118"/>
      <c r="I1258" s="117">
        <v>2.77</v>
      </c>
      <c r="J1258" s="117"/>
      <c r="K1258" s="131">
        <v>1308</v>
      </c>
      <c r="L1258" s="131" t="s">
        <v>81</v>
      </c>
      <c r="M1258" s="132">
        <v>1</v>
      </c>
      <c r="N1258" s="117" t="s">
        <v>39</v>
      </c>
      <c r="O1258" s="133">
        <v>8</v>
      </c>
      <c r="P1258" s="117" t="s">
        <v>112</v>
      </c>
      <c r="Q1258" s="163">
        <f t="shared" si="637"/>
        <v>8</v>
      </c>
      <c r="R1258" s="161">
        <v>1</v>
      </c>
      <c r="S1258" s="163">
        <f t="shared" si="638"/>
        <v>9</v>
      </c>
      <c r="T1258" s="165" t="s">
        <v>48</v>
      </c>
    </row>
    <row r="1259" spans="3:20" ht="20.25" customHeight="1">
      <c r="C1259" s="109"/>
      <c r="D1259" s="115">
        <f t="shared" si="620"/>
        <v>1259</v>
      </c>
      <c r="E1259" s="119" t="s">
        <v>707</v>
      </c>
      <c r="F1259" s="121">
        <f t="shared" si="636"/>
        <v>1258</v>
      </c>
      <c r="G1259" s="118" t="s">
        <v>666</v>
      </c>
      <c r="H1259" s="118"/>
      <c r="I1259" s="117">
        <v>2.77</v>
      </c>
      <c r="J1259" s="117"/>
      <c r="K1259" s="131">
        <v>1308</v>
      </c>
      <c r="L1259" s="131" t="s">
        <v>81</v>
      </c>
      <c r="M1259" s="155">
        <f>K1259</f>
        <v>1308</v>
      </c>
      <c r="N1259" s="117" t="s">
        <v>668</v>
      </c>
      <c r="O1259" s="175">
        <f>1/60*5</f>
        <v>8.3333333333333329E-2</v>
      </c>
      <c r="P1259" s="117" t="s">
        <v>112</v>
      </c>
      <c r="Q1259" s="163">
        <f t="shared" si="637"/>
        <v>109</v>
      </c>
      <c r="R1259" s="161">
        <v>1</v>
      </c>
      <c r="S1259" s="163">
        <f t="shared" si="638"/>
        <v>110</v>
      </c>
      <c r="T1259" s="165" t="s">
        <v>48</v>
      </c>
    </row>
    <row r="1260" spans="3:20" ht="20.25" customHeight="1">
      <c r="C1260" s="109"/>
      <c r="D1260" s="115">
        <f t="shared" si="620"/>
        <v>1260</v>
      </c>
      <c r="E1260" s="119" t="s">
        <v>708</v>
      </c>
      <c r="F1260" s="121">
        <f t="shared" si="636"/>
        <v>1259</v>
      </c>
      <c r="G1260" s="118" t="s">
        <v>44</v>
      </c>
      <c r="H1260" s="118"/>
      <c r="I1260" s="117">
        <v>2.77</v>
      </c>
      <c r="J1260" s="117"/>
      <c r="K1260" s="131">
        <v>1308</v>
      </c>
      <c r="L1260" s="131" t="s">
        <v>81</v>
      </c>
      <c r="M1260" s="132">
        <v>1</v>
      </c>
      <c r="N1260" s="117" t="s">
        <v>39</v>
      </c>
      <c r="O1260" s="133">
        <v>8</v>
      </c>
      <c r="P1260" s="117" t="s">
        <v>112</v>
      </c>
      <c r="Q1260" s="163">
        <f t="shared" si="637"/>
        <v>8</v>
      </c>
      <c r="R1260" s="161">
        <v>1</v>
      </c>
      <c r="S1260" s="163">
        <f t="shared" si="638"/>
        <v>9</v>
      </c>
      <c r="T1260" s="165" t="s">
        <v>48</v>
      </c>
    </row>
    <row r="1261" spans="3:20" ht="20.25" customHeight="1">
      <c r="C1261" s="109">
        <f>D1261</f>
        <v>1261</v>
      </c>
      <c r="D1261" s="115">
        <f t="shared" si="620"/>
        <v>1261</v>
      </c>
      <c r="E1261" s="116" t="s">
        <v>672</v>
      </c>
      <c r="F1261" s="121">
        <f>D1256</f>
        <v>1256</v>
      </c>
      <c r="G1261" s="118"/>
      <c r="H1261" s="118"/>
      <c r="I1261" s="117"/>
      <c r="J1261" s="117"/>
      <c r="K1261" s="131"/>
      <c r="L1261" s="131"/>
      <c r="M1261" s="132"/>
      <c r="N1261" s="117"/>
      <c r="O1261" s="133"/>
      <c r="P1261" s="117"/>
      <c r="Q1261" s="163"/>
      <c r="R1261" s="161"/>
      <c r="S1261" s="163"/>
      <c r="T1261" s="165"/>
    </row>
    <row r="1262" spans="3:20" ht="20.25" customHeight="1">
      <c r="C1262" s="109"/>
      <c r="D1262" s="115">
        <f t="shared" si="620"/>
        <v>1262</v>
      </c>
      <c r="E1262" s="119" t="s">
        <v>709</v>
      </c>
      <c r="F1262" s="121">
        <f t="shared" ref="F1262:F1265" si="639">D1261</f>
        <v>1261</v>
      </c>
      <c r="G1262" s="118" t="s">
        <v>666</v>
      </c>
      <c r="H1262" s="118"/>
      <c r="I1262" s="117">
        <v>2.77</v>
      </c>
      <c r="J1262" s="117"/>
      <c r="K1262" s="131">
        <v>1308</v>
      </c>
      <c r="L1262" s="131" t="s">
        <v>81</v>
      </c>
      <c r="M1262" s="155">
        <f>K1262</f>
        <v>1308</v>
      </c>
      <c r="N1262" s="117" t="s">
        <v>668</v>
      </c>
      <c r="O1262" s="175">
        <f>1/60*5</f>
        <v>8.3333333333333329E-2</v>
      </c>
      <c r="P1262" s="117" t="s">
        <v>112</v>
      </c>
      <c r="Q1262" s="163">
        <f t="shared" ref="Q1262:Q1265" si="640">M1262*O1262</f>
        <v>109</v>
      </c>
      <c r="R1262" s="161">
        <v>1</v>
      </c>
      <c r="S1262" s="163">
        <f t="shared" ref="S1262:S1265" si="641">Q1262+R1262</f>
        <v>110</v>
      </c>
      <c r="T1262" s="165" t="s">
        <v>48</v>
      </c>
    </row>
    <row r="1263" spans="3:20" ht="20.25" customHeight="1">
      <c r="C1263" s="109"/>
      <c r="D1263" s="115">
        <f t="shared" si="620"/>
        <v>1263</v>
      </c>
      <c r="E1263" s="119" t="s">
        <v>710</v>
      </c>
      <c r="F1263" s="121">
        <f t="shared" si="639"/>
        <v>1262</v>
      </c>
      <c r="G1263" s="118" t="s">
        <v>44</v>
      </c>
      <c r="H1263" s="118"/>
      <c r="I1263" s="117">
        <v>2.77</v>
      </c>
      <c r="J1263" s="117"/>
      <c r="K1263" s="131">
        <v>1308</v>
      </c>
      <c r="L1263" s="131" t="s">
        <v>81</v>
      </c>
      <c r="M1263" s="132">
        <v>1</v>
      </c>
      <c r="N1263" s="117" t="s">
        <v>39</v>
      </c>
      <c r="O1263" s="133">
        <v>8</v>
      </c>
      <c r="P1263" s="117" t="s">
        <v>112</v>
      </c>
      <c r="Q1263" s="163">
        <f t="shared" si="640"/>
        <v>8</v>
      </c>
      <c r="R1263" s="161">
        <v>1</v>
      </c>
      <c r="S1263" s="163">
        <f t="shared" si="641"/>
        <v>9</v>
      </c>
      <c r="T1263" s="165" t="s">
        <v>48</v>
      </c>
    </row>
    <row r="1264" spans="3:20" ht="20.25" customHeight="1">
      <c r="C1264" s="109"/>
      <c r="D1264" s="115">
        <f t="shared" si="620"/>
        <v>1264</v>
      </c>
      <c r="E1264" s="119" t="s">
        <v>711</v>
      </c>
      <c r="F1264" s="121">
        <f t="shared" si="639"/>
        <v>1263</v>
      </c>
      <c r="G1264" s="118" t="s">
        <v>666</v>
      </c>
      <c r="H1264" s="118"/>
      <c r="I1264" s="117">
        <v>2.77</v>
      </c>
      <c r="J1264" s="117"/>
      <c r="K1264" s="131">
        <v>1308</v>
      </c>
      <c r="L1264" s="131" t="s">
        <v>81</v>
      </c>
      <c r="M1264" s="155">
        <f>K1264</f>
        <v>1308</v>
      </c>
      <c r="N1264" s="117" t="s">
        <v>668</v>
      </c>
      <c r="O1264" s="175">
        <f>1/60*5</f>
        <v>8.3333333333333329E-2</v>
      </c>
      <c r="P1264" s="117" t="s">
        <v>112</v>
      </c>
      <c r="Q1264" s="163">
        <f t="shared" si="640"/>
        <v>109</v>
      </c>
      <c r="R1264" s="161">
        <v>1</v>
      </c>
      <c r="S1264" s="163">
        <f t="shared" si="641"/>
        <v>110</v>
      </c>
      <c r="T1264" s="165" t="s">
        <v>48</v>
      </c>
    </row>
    <row r="1265" spans="3:20" ht="20.25" customHeight="1">
      <c r="C1265" s="109"/>
      <c r="D1265" s="115">
        <f t="shared" si="620"/>
        <v>1265</v>
      </c>
      <c r="E1265" s="119" t="s">
        <v>712</v>
      </c>
      <c r="F1265" s="121">
        <f t="shared" si="639"/>
        <v>1264</v>
      </c>
      <c r="G1265" s="118" t="s">
        <v>44</v>
      </c>
      <c r="H1265" s="118"/>
      <c r="I1265" s="117">
        <v>2.77</v>
      </c>
      <c r="J1265" s="117"/>
      <c r="K1265" s="131">
        <v>1308</v>
      </c>
      <c r="L1265" s="131" t="s">
        <v>81</v>
      </c>
      <c r="M1265" s="132">
        <v>1</v>
      </c>
      <c r="N1265" s="117" t="s">
        <v>39</v>
      </c>
      <c r="O1265" s="133">
        <v>8</v>
      </c>
      <c r="P1265" s="117" t="s">
        <v>112</v>
      </c>
      <c r="Q1265" s="163">
        <f t="shared" si="640"/>
        <v>8</v>
      </c>
      <c r="R1265" s="161">
        <v>1</v>
      </c>
      <c r="S1265" s="163">
        <f t="shared" si="641"/>
        <v>9</v>
      </c>
      <c r="T1265" s="165" t="s">
        <v>48</v>
      </c>
    </row>
    <row r="1266" spans="3:20" ht="20.25" customHeight="1">
      <c r="C1266" s="109">
        <f t="shared" ref="C1266:C1267" si="642">D1266</f>
        <v>1266</v>
      </c>
      <c r="D1266" s="115">
        <f t="shared" si="620"/>
        <v>1266</v>
      </c>
      <c r="E1266" s="120" t="s">
        <v>777</v>
      </c>
      <c r="F1266" s="121"/>
      <c r="G1266" s="118"/>
      <c r="H1266" s="118"/>
      <c r="I1266" s="117"/>
      <c r="J1266" s="117"/>
      <c r="K1266" s="131"/>
      <c r="L1266" s="131"/>
      <c r="M1266" s="132"/>
      <c r="N1266" s="117"/>
      <c r="O1266" s="133"/>
      <c r="P1266" s="117"/>
      <c r="Q1266" s="163"/>
      <c r="R1266" s="161"/>
      <c r="S1266" s="163"/>
      <c r="T1266" s="165"/>
    </row>
    <row r="1267" spans="3:20" ht="20.25" customHeight="1">
      <c r="C1267" s="109">
        <f t="shared" si="642"/>
        <v>1267</v>
      </c>
      <c r="D1267" s="115">
        <f t="shared" si="620"/>
        <v>1267</v>
      </c>
      <c r="E1267" s="119" t="s">
        <v>778</v>
      </c>
      <c r="F1267" s="121"/>
      <c r="G1267" s="118"/>
      <c r="H1267" s="118"/>
      <c r="I1267" s="117"/>
      <c r="J1267" s="117"/>
      <c r="K1267" s="131">
        <v>1</v>
      </c>
      <c r="L1267" s="154" t="s">
        <v>39</v>
      </c>
      <c r="M1267" s="132">
        <v>1</v>
      </c>
      <c r="N1267" s="145" t="s">
        <v>48</v>
      </c>
      <c r="O1267" s="133">
        <v>6</v>
      </c>
      <c r="P1267" s="145" t="s">
        <v>48</v>
      </c>
      <c r="Q1267" s="163">
        <f t="shared" ref="Q1267:Q1270" si="643">M1267*O1267</f>
        <v>6</v>
      </c>
      <c r="R1267" s="161"/>
      <c r="S1267" s="163">
        <f t="shared" ref="S1267:S1270" si="644">Q1267+R1267</f>
        <v>6</v>
      </c>
      <c r="T1267" s="165" t="s">
        <v>48</v>
      </c>
    </row>
    <row r="1268" spans="3:20" ht="20.25" customHeight="1">
      <c r="C1268" s="109"/>
      <c r="D1268" s="115">
        <f t="shared" si="620"/>
        <v>1268</v>
      </c>
      <c r="E1268" s="119" t="s">
        <v>777</v>
      </c>
      <c r="F1268" s="121">
        <f t="shared" ref="F1268:F1270" si="645">D1267</f>
        <v>1267</v>
      </c>
      <c r="G1268" s="118" t="s">
        <v>656</v>
      </c>
      <c r="H1268" s="118"/>
      <c r="I1268" s="117"/>
      <c r="J1268" s="117" t="s">
        <v>407</v>
      </c>
      <c r="K1268" s="131">
        <v>1</v>
      </c>
      <c r="L1268" s="131" t="s">
        <v>39</v>
      </c>
      <c r="M1268" s="132">
        <v>1</v>
      </c>
      <c r="N1268" s="117" t="s">
        <v>661</v>
      </c>
      <c r="O1268" s="133">
        <v>12</v>
      </c>
      <c r="P1268" s="117" t="s">
        <v>112</v>
      </c>
      <c r="Q1268" s="163">
        <f t="shared" si="643"/>
        <v>12</v>
      </c>
      <c r="R1268" s="161">
        <v>1</v>
      </c>
      <c r="S1268" s="163">
        <f t="shared" si="644"/>
        <v>13</v>
      </c>
      <c r="T1268" s="165" t="s">
        <v>48</v>
      </c>
    </row>
    <row r="1269" spans="3:20" ht="20.25" customHeight="1">
      <c r="C1269" s="109"/>
      <c r="D1269" s="115">
        <f t="shared" si="620"/>
        <v>1269</v>
      </c>
      <c r="E1269" s="119" t="s">
        <v>779</v>
      </c>
      <c r="F1269" s="121">
        <f t="shared" si="645"/>
        <v>1268</v>
      </c>
      <c r="G1269" s="118" t="s">
        <v>348</v>
      </c>
      <c r="H1269" s="118"/>
      <c r="I1269" s="117"/>
      <c r="J1269" s="117" t="str">
        <f>J1268</f>
        <v>6130 lg</v>
      </c>
      <c r="K1269" s="131">
        <v>1</v>
      </c>
      <c r="L1269" s="131" t="s">
        <v>39</v>
      </c>
      <c r="M1269" s="132">
        <v>1</v>
      </c>
      <c r="N1269" s="117" t="s">
        <v>661</v>
      </c>
      <c r="O1269" s="133">
        <v>1</v>
      </c>
      <c r="P1269" s="117" t="s">
        <v>41</v>
      </c>
      <c r="Q1269" s="163">
        <f t="shared" si="643"/>
        <v>1</v>
      </c>
      <c r="R1269" s="161">
        <v>0</v>
      </c>
      <c r="S1269" s="163">
        <f t="shared" si="644"/>
        <v>1</v>
      </c>
      <c r="T1269" s="165" t="s">
        <v>41</v>
      </c>
    </row>
    <row r="1270" spans="3:20" ht="20.25" customHeight="1">
      <c r="C1270" s="109"/>
      <c r="D1270" s="115">
        <f t="shared" si="620"/>
        <v>1270</v>
      </c>
      <c r="E1270" s="119" t="s">
        <v>680</v>
      </c>
      <c r="F1270" s="121">
        <f t="shared" si="645"/>
        <v>1269</v>
      </c>
      <c r="G1270" s="118" t="s">
        <v>640</v>
      </c>
      <c r="H1270" s="118"/>
      <c r="I1270" s="117"/>
      <c r="J1270" s="117" t="str">
        <f>J1269</f>
        <v>6130 lg</v>
      </c>
      <c r="K1270" s="131">
        <v>1</v>
      </c>
      <c r="L1270" s="131" t="s">
        <v>39</v>
      </c>
      <c r="M1270" s="132">
        <v>1</v>
      </c>
      <c r="N1270" s="117" t="s">
        <v>661</v>
      </c>
      <c r="O1270" s="133">
        <v>8</v>
      </c>
      <c r="P1270" s="117" t="s">
        <v>112</v>
      </c>
      <c r="Q1270" s="163">
        <f t="shared" si="643"/>
        <v>8</v>
      </c>
      <c r="R1270" s="161">
        <v>0</v>
      </c>
      <c r="S1270" s="163">
        <f t="shared" si="644"/>
        <v>8</v>
      </c>
      <c r="T1270" s="165" t="s">
        <v>48</v>
      </c>
    </row>
    <row r="1271" spans="3:20" ht="20.25" customHeight="1">
      <c r="C1271" s="109">
        <f t="shared" ref="C1271" si="646">D1271</f>
        <v>1271</v>
      </c>
      <c r="D1271" s="115">
        <f t="shared" si="620"/>
        <v>1271</v>
      </c>
      <c r="E1271" s="116" t="s">
        <v>785</v>
      </c>
      <c r="F1271" s="121"/>
      <c r="G1271" s="118"/>
      <c r="H1271" s="118"/>
      <c r="I1271" s="117"/>
      <c r="J1271" s="117"/>
      <c r="K1271" s="131"/>
      <c r="L1271" s="131"/>
      <c r="M1271" s="132"/>
      <c r="N1271" s="117"/>
      <c r="O1271" s="133"/>
      <c r="P1271" s="117"/>
      <c r="Q1271" s="163"/>
      <c r="R1271" s="161"/>
      <c r="S1271" s="163"/>
      <c r="T1271" s="162"/>
    </row>
    <row r="1272" spans="3:20" ht="20.25" customHeight="1">
      <c r="C1272" s="109"/>
      <c r="D1272" s="115">
        <f t="shared" ref="D1272:D1289" si="647">D1271+1</f>
        <v>1272</v>
      </c>
      <c r="E1272" s="119" t="s">
        <v>715</v>
      </c>
      <c r="F1272" s="121"/>
      <c r="G1272" s="118" t="s">
        <v>201</v>
      </c>
      <c r="H1272" s="118"/>
      <c r="I1272" s="117"/>
      <c r="J1272" s="117"/>
      <c r="K1272" s="131">
        <v>1</v>
      </c>
      <c r="L1272" s="154" t="s">
        <v>84</v>
      </c>
      <c r="M1272" s="132">
        <v>1</v>
      </c>
      <c r="N1272" s="145" t="s">
        <v>661</v>
      </c>
      <c r="O1272" s="152">
        <v>16</v>
      </c>
      <c r="P1272" s="117" t="s">
        <v>112</v>
      </c>
      <c r="Q1272" s="163">
        <f t="shared" ref="Q1272" si="648">M1272*O1272</f>
        <v>16</v>
      </c>
      <c r="R1272" s="161">
        <v>0</v>
      </c>
      <c r="S1272" s="163">
        <f t="shared" ref="S1272" si="649">Q1272+R1272</f>
        <v>16</v>
      </c>
      <c r="T1272" s="165" t="s">
        <v>48</v>
      </c>
    </row>
    <row r="1273" spans="3:20" ht="20.25" customHeight="1">
      <c r="C1273" s="109"/>
      <c r="D1273" s="115">
        <f t="shared" si="647"/>
        <v>1273</v>
      </c>
      <c r="E1273" s="119" t="s">
        <v>716</v>
      </c>
      <c r="F1273" s="121">
        <f>D1272</f>
        <v>1272</v>
      </c>
      <c r="G1273" s="118" t="s">
        <v>656</v>
      </c>
      <c r="H1273" s="118"/>
      <c r="I1273" s="117"/>
      <c r="J1273" s="117" t="s">
        <v>717</v>
      </c>
      <c r="K1273" s="131">
        <v>1</v>
      </c>
      <c r="L1273" s="131" t="s">
        <v>39</v>
      </c>
      <c r="M1273" s="132">
        <v>1</v>
      </c>
      <c r="N1273" s="117" t="s">
        <v>661</v>
      </c>
      <c r="O1273" s="133">
        <v>12</v>
      </c>
      <c r="P1273" s="117" t="s">
        <v>112</v>
      </c>
      <c r="Q1273" s="163">
        <f t="shared" ref="Q1273:Q1289" si="650">M1273*O1273</f>
        <v>12</v>
      </c>
      <c r="R1273" s="161">
        <v>1</v>
      </c>
      <c r="S1273" s="163">
        <f t="shared" ref="S1273:S1289" si="651">Q1273+R1273</f>
        <v>13</v>
      </c>
      <c r="T1273" s="165" t="s">
        <v>48</v>
      </c>
    </row>
    <row r="1274" spans="3:20" ht="20.25" customHeight="1">
      <c r="C1274" s="109"/>
      <c r="D1274" s="115">
        <f t="shared" si="647"/>
        <v>1274</v>
      </c>
      <c r="E1274" s="119" t="s">
        <v>718</v>
      </c>
      <c r="F1274" s="121">
        <f>D1273</f>
        <v>1273</v>
      </c>
      <c r="G1274" s="118" t="s">
        <v>348</v>
      </c>
      <c r="H1274" s="118"/>
      <c r="I1274" s="117"/>
      <c r="J1274" s="117" t="s">
        <v>717</v>
      </c>
      <c r="K1274" s="131">
        <v>1</v>
      </c>
      <c r="L1274" s="131" t="s">
        <v>39</v>
      </c>
      <c r="M1274" s="132">
        <v>1</v>
      </c>
      <c r="N1274" s="117" t="s">
        <v>661</v>
      </c>
      <c r="O1274" s="133">
        <v>4</v>
      </c>
      <c r="P1274" s="145" t="s">
        <v>112</v>
      </c>
      <c r="Q1274" s="163">
        <f t="shared" si="650"/>
        <v>4</v>
      </c>
      <c r="R1274" s="161">
        <v>1</v>
      </c>
      <c r="S1274" s="163">
        <f t="shared" si="651"/>
        <v>5</v>
      </c>
      <c r="T1274" s="165" t="s">
        <v>48</v>
      </c>
    </row>
    <row r="1275" spans="3:20" ht="20.25" customHeight="1">
      <c r="C1275" s="109"/>
      <c r="D1275" s="115">
        <f t="shared" si="647"/>
        <v>1275</v>
      </c>
      <c r="E1275" s="119" t="s">
        <v>719</v>
      </c>
      <c r="F1275" s="121">
        <f>D1274</f>
        <v>1274</v>
      </c>
      <c r="G1275" s="118" t="s">
        <v>640</v>
      </c>
      <c r="H1275" s="118"/>
      <c r="I1275" s="117"/>
      <c r="J1275" s="117" t="s">
        <v>717</v>
      </c>
      <c r="K1275" s="131">
        <v>1</v>
      </c>
      <c r="L1275" s="131" t="s">
        <v>39</v>
      </c>
      <c r="M1275" s="132">
        <v>1</v>
      </c>
      <c r="N1275" s="117" t="s">
        <v>661</v>
      </c>
      <c r="O1275" s="133">
        <v>4</v>
      </c>
      <c r="P1275" s="117" t="s">
        <v>112</v>
      </c>
      <c r="Q1275" s="163">
        <f t="shared" si="650"/>
        <v>4</v>
      </c>
      <c r="R1275" s="161">
        <v>0</v>
      </c>
      <c r="S1275" s="163">
        <f t="shared" si="651"/>
        <v>4</v>
      </c>
      <c r="T1275" s="165" t="s">
        <v>48</v>
      </c>
    </row>
    <row r="1276" spans="3:20" ht="20.25" customHeight="1">
      <c r="C1276" s="109"/>
      <c r="D1276" s="115">
        <f t="shared" si="647"/>
        <v>1276</v>
      </c>
      <c r="E1276" s="119" t="s">
        <v>720</v>
      </c>
      <c r="F1276" s="121">
        <f>D1275</f>
        <v>1275</v>
      </c>
      <c r="G1276" s="118" t="s">
        <v>640</v>
      </c>
      <c r="H1276" s="118"/>
      <c r="I1276" s="117"/>
      <c r="J1276" s="117" t="s">
        <v>717</v>
      </c>
      <c r="K1276" s="131">
        <v>1</v>
      </c>
      <c r="L1276" s="131" t="s">
        <v>39</v>
      </c>
      <c r="M1276" s="132">
        <v>1</v>
      </c>
      <c r="N1276" s="117" t="s">
        <v>661</v>
      </c>
      <c r="O1276" s="133">
        <v>1</v>
      </c>
      <c r="P1276" s="145" t="s">
        <v>41</v>
      </c>
      <c r="Q1276" s="163">
        <f t="shared" si="650"/>
        <v>1</v>
      </c>
      <c r="R1276" s="161">
        <v>0</v>
      </c>
      <c r="S1276" s="163">
        <f t="shared" si="651"/>
        <v>1</v>
      </c>
      <c r="T1276" s="165" t="s">
        <v>41</v>
      </c>
    </row>
    <row r="1277" spans="3:20" ht="20.25" customHeight="1">
      <c r="C1277" s="109"/>
      <c r="D1277" s="115">
        <f t="shared" si="647"/>
        <v>1277</v>
      </c>
      <c r="E1277" s="119" t="s">
        <v>721</v>
      </c>
      <c r="F1277" s="121">
        <f>D1276</f>
        <v>1276</v>
      </c>
      <c r="G1277" s="118" t="s">
        <v>640</v>
      </c>
      <c r="H1277" s="118"/>
      <c r="I1277" s="117"/>
      <c r="J1277" s="117" t="s">
        <v>717</v>
      </c>
      <c r="K1277" s="131">
        <v>1</v>
      </c>
      <c r="L1277" s="131" t="s">
        <v>39</v>
      </c>
      <c r="M1277" s="132">
        <v>1</v>
      </c>
      <c r="N1277" s="117" t="s">
        <v>661</v>
      </c>
      <c r="O1277" s="133">
        <v>4</v>
      </c>
      <c r="P1277" s="117" t="s">
        <v>112</v>
      </c>
      <c r="Q1277" s="163">
        <f t="shared" si="650"/>
        <v>4</v>
      </c>
      <c r="R1277" s="161">
        <v>1</v>
      </c>
      <c r="S1277" s="163">
        <f t="shared" si="651"/>
        <v>5</v>
      </c>
      <c r="T1277" s="165" t="s">
        <v>48</v>
      </c>
    </row>
    <row r="1278" spans="3:20" ht="21" customHeight="1">
      <c r="C1278" s="109">
        <f>D1278</f>
        <v>1278</v>
      </c>
      <c r="D1278" s="115">
        <f t="shared" si="647"/>
        <v>1278</v>
      </c>
      <c r="E1278" s="116" t="s">
        <v>786</v>
      </c>
      <c r="F1278" s="121">
        <f>D1271</f>
        <v>1271</v>
      </c>
      <c r="G1278" s="118"/>
      <c r="H1278" s="118"/>
      <c r="I1278" s="117"/>
      <c r="J1278" s="117"/>
      <c r="K1278" s="131"/>
      <c r="L1278" s="131"/>
      <c r="M1278" s="132"/>
      <c r="N1278" s="117"/>
      <c r="O1278" s="133"/>
      <c r="P1278" s="117"/>
      <c r="Q1278" s="163"/>
      <c r="R1278" s="161"/>
      <c r="S1278" s="163"/>
      <c r="T1278" s="162"/>
    </row>
    <row r="1279" spans="3:20" ht="21" customHeight="1">
      <c r="C1279" s="109"/>
      <c r="D1279" s="115">
        <f t="shared" si="647"/>
        <v>1279</v>
      </c>
      <c r="E1279" s="119" t="s">
        <v>787</v>
      </c>
      <c r="F1279" s="121"/>
      <c r="G1279" s="118" t="s">
        <v>640</v>
      </c>
      <c r="H1279" s="118"/>
      <c r="I1279" s="117"/>
      <c r="J1279" s="117" t="s">
        <v>717</v>
      </c>
      <c r="K1279" s="131">
        <v>1</v>
      </c>
      <c r="L1279" s="131" t="s">
        <v>39</v>
      </c>
      <c r="M1279" s="132">
        <v>1</v>
      </c>
      <c r="N1279" s="117" t="s">
        <v>661</v>
      </c>
      <c r="O1279" s="152">
        <v>16</v>
      </c>
      <c r="P1279" s="117" t="s">
        <v>112</v>
      </c>
      <c r="Q1279" s="163">
        <f t="shared" ref="Q1279" si="652">M1279*O1279</f>
        <v>16</v>
      </c>
      <c r="R1279" s="161">
        <v>0</v>
      </c>
      <c r="S1279" s="163">
        <f t="shared" ref="S1279" si="653">Q1279+R1279</f>
        <v>16</v>
      </c>
      <c r="T1279" s="165" t="s">
        <v>48</v>
      </c>
    </row>
    <row r="1280" spans="3:20" ht="20.25" customHeight="1">
      <c r="C1280" s="109"/>
      <c r="D1280" s="115">
        <f t="shared" si="647"/>
        <v>1280</v>
      </c>
      <c r="E1280" s="119" t="s">
        <v>718</v>
      </c>
      <c r="F1280" s="121">
        <f>D1279</f>
        <v>1279</v>
      </c>
      <c r="G1280" s="118" t="s">
        <v>640</v>
      </c>
      <c r="H1280" s="118"/>
      <c r="I1280" s="117"/>
      <c r="J1280" s="117" t="s">
        <v>717</v>
      </c>
      <c r="K1280" s="131">
        <v>1</v>
      </c>
      <c r="L1280" s="131" t="s">
        <v>39</v>
      </c>
      <c r="M1280" s="132">
        <v>1</v>
      </c>
      <c r="N1280" s="117" t="s">
        <v>661</v>
      </c>
      <c r="O1280" s="133">
        <v>8</v>
      </c>
      <c r="P1280" s="117" t="s">
        <v>112</v>
      </c>
      <c r="Q1280" s="163">
        <f t="shared" si="650"/>
        <v>8</v>
      </c>
      <c r="R1280" s="161">
        <v>0</v>
      </c>
      <c r="S1280" s="163">
        <f t="shared" si="651"/>
        <v>8</v>
      </c>
      <c r="T1280" s="165" t="s">
        <v>48</v>
      </c>
    </row>
    <row r="1281" spans="3:20" ht="20.25" customHeight="1">
      <c r="C1281" s="109"/>
      <c r="D1281" s="115">
        <f t="shared" si="647"/>
        <v>1281</v>
      </c>
      <c r="E1281" s="119" t="s">
        <v>722</v>
      </c>
      <c r="F1281" s="121">
        <f>D1280</f>
        <v>1280</v>
      </c>
      <c r="G1281" s="118" t="s">
        <v>640</v>
      </c>
      <c r="H1281" s="118"/>
      <c r="I1281" s="117"/>
      <c r="J1281" s="117" t="s">
        <v>717</v>
      </c>
      <c r="K1281" s="131">
        <v>1</v>
      </c>
      <c r="L1281" s="131" t="s">
        <v>39</v>
      </c>
      <c r="M1281" s="132">
        <v>1</v>
      </c>
      <c r="N1281" s="117" t="s">
        <v>661</v>
      </c>
      <c r="O1281" s="152">
        <v>16</v>
      </c>
      <c r="P1281" s="117" t="s">
        <v>112</v>
      </c>
      <c r="Q1281" s="163">
        <f t="shared" si="650"/>
        <v>16</v>
      </c>
      <c r="R1281" s="161">
        <v>0</v>
      </c>
      <c r="S1281" s="163">
        <f t="shared" si="651"/>
        <v>16</v>
      </c>
      <c r="T1281" s="165" t="s">
        <v>48</v>
      </c>
    </row>
    <row r="1282" spans="3:20" ht="20.25" customHeight="1">
      <c r="C1282" s="109"/>
      <c r="D1282" s="115">
        <f t="shared" si="647"/>
        <v>1282</v>
      </c>
      <c r="E1282" s="119" t="s">
        <v>724</v>
      </c>
      <c r="F1282" s="121">
        <f>D1281</f>
        <v>1281</v>
      </c>
      <c r="G1282" s="118" t="s">
        <v>640</v>
      </c>
      <c r="H1282" s="118"/>
      <c r="I1282" s="117"/>
      <c r="J1282" s="117" t="s">
        <v>717</v>
      </c>
      <c r="K1282" s="131">
        <v>1</v>
      </c>
      <c r="L1282" s="131" t="s">
        <v>39</v>
      </c>
      <c r="M1282" s="132">
        <v>1</v>
      </c>
      <c r="N1282" s="117" t="s">
        <v>661</v>
      </c>
      <c r="O1282" s="133">
        <v>1</v>
      </c>
      <c r="P1282" s="145" t="s">
        <v>41</v>
      </c>
      <c r="Q1282" s="163">
        <f t="shared" si="650"/>
        <v>1</v>
      </c>
      <c r="R1282" s="161">
        <v>0</v>
      </c>
      <c r="S1282" s="163">
        <f t="shared" si="651"/>
        <v>1</v>
      </c>
      <c r="T1282" s="165" t="s">
        <v>41</v>
      </c>
    </row>
    <row r="1283" spans="3:20" ht="20.25" customHeight="1">
      <c r="C1283" s="109"/>
      <c r="D1283" s="115">
        <f t="shared" si="647"/>
        <v>1283</v>
      </c>
      <c r="E1283" s="119" t="s">
        <v>721</v>
      </c>
      <c r="F1283" s="121">
        <f>D1282</f>
        <v>1282</v>
      </c>
      <c r="G1283" s="118" t="s">
        <v>640</v>
      </c>
      <c r="H1283" s="118"/>
      <c r="I1283" s="117"/>
      <c r="J1283" s="117" t="s">
        <v>717</v>
      </c>
      <c r="K1283" s="131">
        <v>1</v>
      </c>
      <c r="L1283" s="131" t="s">
        <v>39</v>
      </c>
      <c r="M1283" s="132">
        <v>1</v>
      </c>
      <c r="N1283" s="117" t="s">
        <v>661</v>
      </c>
      <c r="O1283" s="152">
        <v>6</v>
      </c>
      <c r="P1283" s="117" t="s">
        <v>112</v>
      </c>
      <c r="Q1283" s="163">
        <f t="shared" si="650"/>
        <v>6</v>
      </c>
      <c r="R1283" s="161">
        <v>0</v>
      </c>
      <c r="S1283" s="163">
        <f t="shared" si="651"/>
        <v>6</v>
      </c>
      <c r="T1283" s="165" t="s">
        <v>48</v>
      </c>
    </row>
    <row r="1284" spans="3:20" ht="20.25" customHeight="1">
      <c r="C1284" s="109">
        <f>D1284</f>
        <v>1284</v>
      </c>
      <c r="D1284" s="115">
        <f t="shared" si="647"/>
        <v>1284</v>
      </c>
      <c r="E1284" s="116" t="s">
        <v>725</v>
      </c>
      <c r="F1284" s="121">
        <f>D1278</f>
        <v>1278</v>
      </c>
      <c r="G1284" s="118" t="s">
        <v>640</v>
      </c>
      <c r="H1284" s="118"/>
      <c r="I1284" s="117"/>
      <c r="J1284" s="117"/>
      <c r="K1284" s="131"/>
      <c r="L1284" s="131"/>
      <c r="M1284" s="132"/>
      <c r="N1284" s="117"/>
      <c r="O1284" s="133"/>
      <c r="P1284" s="117"/>
      <c r="Q1284" s="163"/>
      <c r="R1284" s="161"/>
      <c r="S1284" s="163"/>
      <c r="T1284" s="165"/>
    </row>
    <row r="1285" spans="3:20" ht="20.25" customHeight="1">
      <c r="C1285" s="109"/>
      <c r="D1285" s="115">
        <f t="shared" si="647"/>
        <v>1285</v>
      </c>
      <c r="E1285" s="119" t="s">
        <v>726</v>
      </c>
      <c r="F1285" s="121"/>
      <c r="G1285" s="118" t="s">
        <v>640</v>
      </c>
      <c r="H1285" s="118"/>
      <c r="I1285" s="117"/>
      <c r="J1285" s="117" t="s">
        <v>717</v>
      </c>
      <c r="K1285" s="131">
        <v>1</v>
      </c>
      <c r="L1285" s="131" t="s">
        <v>39</v>
      </c>
      <c r="M1285" s="132">
        <v>1</v>
      </c>
      <c r="N1285" s="117" t="s">
        <v>661</v>
      </c>
      <c r="O1285" s="133">
        <v>12</v>
      </c>
      <c r="P1285" s="117" t="s">
        <v>112</v>
      </c>
      <c r="Q1285" s="163">
        <f t="shared" si="650"/>
        <v>12</v>
      </c>
      <c r="R1285" s="161">
        <v>0</v>
      </c>
      <c r="S1285" s="163">
        <f t="shared" si="651"/>
        <v>12</v>
      </c>
      <c r="T1285" s="165" t="s">
        <v>48</v>
      </c>
    </row>
    <row r="1286" spans="3:20" ht="20.25" customHeight="1">
      <c r="C1286" s="109">
        <f>D1286</f>
        <v>1286</v>
      </c>
      <c r="D1286" s="115">
        <f t="shared" si="647"/>
        <v>1286</v>
      </c>
      <c r="E1286" s="116" t="s">
        <v>727</v>
      </c>
      <c r="F1286" s="121">
        <f>D1284</f>
        <v>1284</v>
      </c>
      <c r="G1286" s="118" t="s">
        <v>640</v>
      </c>
      <c r="H1286" s="118"/>
      <c r="I1286" s="117"/>
      <c r="J1286" s="117"/>
      <c r="K1286" s="131"/>
      <c r="L1286" s="131"/>
      <c r="M1286" s="132"/>
      <c r="N1286" s="117"/>
      <c r="O1286" s="133"/>
      <c r="P1286" s="117"/>
      <c r="Q1286" s="163"/>
      <c r="R1286" s="161"/>
      <c r="S1286" s="163"/>
      <c r="T1286" s="162"/>
    </row>
    <row r="1287" spans="3:20" ht="20.25" customHeight="1">
      <c r="C1287" s="109"/>
      <c r="D1287" s="115">
        <f t="shared" si="647"/>
        <v>1287</v>
      </c>
      <c r="E1287" s="119" t="s">
        <v>728</v>
      </c>
      <c r="F1287" s="121"/>
      <c r="G1287" s="118" t="s">
        <v>640</v>
      </c>
      <c r="H1287" s="118"/>
      <c r="I1287" s="117"/>
      <c r="J1287" s="117" t="s">
        <v>717</v>
      </c>
      <c r="K1287" s="131">
        <v>1</v>
      </c>
      <c r="L1287" s="131" t="s">
        <v>39</v>
      </c>
      <c r="M1287" s="132">
        <v>1</v>
      </c>
      <c r="N1287" s="117" t="s">
        <v>661</v>
      </c>
      <c r="O1287" s="133">
        <v>1</v>
      </c>
      <c r="P1287" s="145" t="s">
        <v>41</v>
      </c>
      <c r="Q1287" s="163">
        <f t="shared" si="650"/>
        <v>1</v>
      </c>
      <c r="R1287" s="161">
        <v>0</v>
      </c>
      <c r="S1287" s="163">
        <f t="shared" si="651"/>
        <v>1</v>
      </c>
      <c r="T1287" s="145" t="s">
        <v>41</v>
      </c>
    </row>
    <row r="1288" spans="3:20" ht="20.25" customHeight="1">
      <c r="C1288" s="109"/>
      <c r="D1288" s="115">
        <f t="shared" si="647"/>
        <v>1288</v>
      </c>
      <c r="E1288" s="119" t="s">
        <v>729</v>
      </c>
      <c r="F1288" s="121">
        <f>D1287</f>
        <v>1287</v>
      </c>
      <c r="G1288" s="118" t="s">
        <v>640</v>
      </c>
      <c r="H1288" s="118"/>
      <c r="I1288" s="117"/>
      <c r="J1288" s="117" t="s">
        <v>717</v>
      </c>
      <c r="K1288" s="131">
        <v>1</v>
      </c>
      <c r="L1288" s="131" t="s">
        <v>39</v>
      </c>
      <c r="M1288" s="132">
        <v>1</v>
      </c>
      <c r="N1288" s="117" t="s">
        <v>661</v>
      </c>
      <c r="O1288" s="133">
        <v>1</v>
      </c>
      <c r="P1288" s="145" t="s">
        <v>41</v>
      </c>
      <c r="Q1288" s="163">
        <f t="shared" si="650"/>
        <v>1</v>
      </c>
      <c r="R1288" s="161">
        <v>0</v>
      </c>
      <c r="S1288" s="163">
        <f t="shared" si="651"/>
        <v>1</v>
      </c>
      <c r="T1288" s="145" t="s">
        <v>41</v>
      </c>
    </row>
    <row r="1289" spans="3:20" ht="20.25" customHeight="1">
      <c r="C1289" s="109"/>
      <c r="D1289" s="115">
        <f t="shared" si="647"/>
        <v>1289</v>
      </c>
      <c r="E1289" s="119" t="s">
        <v>730</v>
      </c>
      <c r="F1289" s="121">
        <f>D1288</f>
        <v>1288</v>
      </c>
      <c r="G1289" s="118" t="s">
        <v>640</v>
      </c>
      <c r="H1289" s="118"/>
      <c r="I1289" s="117"/>
      <c r="J1289" s="117" t="s">
        <v>717</v>
      </c>
      <c r="K1289" s="131">
        <v>1</v>
      </c>
      <c r="L1289" s="131" t="s">
        <v>39</v>
      </c>
      <c r="M1289" s="132">
        <v>1</v>
      </c>
      <c r="N1289" s="117" t="s">
        <v>661</v>
      </c>
      <c r="O1289" s="133">
        <v>1</v>
      </c>
      <c r="P1289" s="145" t="s">
        <v>41</v>
      </c>
      <c r="Q1289" s="163">
        <f t="shared" si="650"/>
        <v>1</v>
      </c>
      <c r="R1289" s="161">
        <v>0</v>
      </c>
      <c r="S1289" s="163">
        <f t="shared" si="651"/>
        <v>1</v>
      </c>
      <c r="T1289" s="145" t="s">
        <v>41</v>
      </c>
    </row>
  </sheetData>
  <sheetProtection formatCells="0" formatColumns="0" formatRows="0" insertColumns="0" insertRows="0" insertHyperlinks="0" deleteColumns="0" deleteRows="0" sort="0" autoFilter="0" pivotTables="0"/>
  <autoFilter ref="E1:E1289"/>
  <pageMargins left="0.69930555555555596" right="0.27916666666666701" top="0.75" bottom="0.75" header="0.3" footer="0.3"/>
  <pageSetup paperSize="9" scale="8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87"/>
  <sheetViews>
    <sheetView showGridLines="0" topLeftCell="A15" zoomScale="90" zoomScaleNormal="90" workbookViewId="0">
      <selection activeCell="A21" sqref="A21"/>
    </sheetView>
  </sheetViews>
  <sheetFormatPr defaultColWidth="7.1328125" defaultRowHeight="15.75"/>
  <cols>
    <col min="1" max="16384" width="7.1328125" style="83"/>
  </cols>
  <sheetData>
    <row r="1" spans="1:24">
      <c r="A1" s="84"/>
      <c r="B1" s="84">
        <v>2</v>
      </c>
      <c r="C1" s="84">
        <v>3</v>
      </c>
      <c r="D1" s="84">
        <v>4</v>
      </c>
      <c r="E1" s="84">
        <v>5</v>
      </c>
      <c r="F1" s="84">
        <v>6</v>
      </c>
      <c r="G1" s="84">
        <v>7</v>
      </c>
      <c r="H1" s="84">
        <v>8</v>
      </c>
      <c r="I1" s="84">
        <v>9</v>
      </c>
      <c r="J1" s="84">
        <v>10</v>
      </c>
      <c r="K1" s="84">
        <v>11</v>
      </c>
      <c r="L1" s="84">
        <v>12</v>
      </c>
      <c r="M1" s="84">
        <v>13</v>
      </c>
      <c r="N1" s="84">
        <v>14</v>
      </c>
      <c r="O1" s="84">
        <v>15</v>
      </c>
      <c r="P1" s="84">
        <v>16</v>
      </c>
      <c r="Q1" s="84">
        <v>17</v>
      </c>
      <c r="R1" s="84">
        <v>18</v>
      </c>
      <c r="S1" s="84">
        <v>19</v>
      </c>
      <c r="T1" s="84">
        <v>20</v>
      </c>
      <c r="U1" s="84">
        <v>21</v>
      </c>
      <c r="V1" s="84">
        <v>22</v>
      </c>
      <c r="W1" s="84">
        <v>23</v>
      </c>
      <c r="X1" s="89"/>
    </row>
    <row r="2" spans="1:24" s="80" customFormat="1" ht="101.25" customHeight="1">
      <c r="A2" s="85" t="s">
        <v>788</v>
      </c>
      <c r="B2" s="85" t="s">
        <v>789</v>
      </c>
      <c r="C2" s="85" t="s">
        <v>790</v>
      </c>
      <c r="D2" s="85" t="s">
        <v>791</v>
      </c>
      <c r="E2" s="85" t="s">
        <v>792</v>
      </c>
      <c r="F2" s="85" t="s">
        <v>793</v>
      </c>
      <c r="G2" s="85" t="s">
        <v>794</v>
      </c>
      <c r="H2" s="85" t="s">
        <v>795</v>
      </c>
      <c r="I2" s="85" t="s">
        <v>796</v>
      </c>
      <c r="J2" s="85" t="s">
        <v>797</v>
      </c>
      <c r="K2" s="85" t="s">
        <v>798</v>
      </c>
      <c r="L2" s="85" t="s">
        <v>799</v>
      </c>
      <c r="M2" s="85" t="s">
        <v>800</v>
      </c>
      <c r="N2" s="85" t="s">
        <v>801</v>
      </c>
      <c r="O2" s="85" t="s">
        <v>802</v>
      </c>
      <c r="P2" s="85" t="s">
        <v>803</v>
      </c>
      <c r="Q2" s="85" t="s">
        <v>804</v>
      </c>
      <c r="R2" s="85" t="s">
        <v>805</v>
      </c>
      <c r="S2" s="85" t="s">
        <v>806</v>
      </c>
      <c r="T2" s="85" t="s">
        <v>807</v>
      </c>
      <c r="U2" s="85" t="s">
        <v>808</v>
      </c>
      <c r="V2" s="85" t="s">
        <v>809</v>
      </c>
      <c r="W2" s="85" t="s">
        <v>810</v>
      </c>
      <c r="X2" s="95"/>
    </row>
    <row r="3" spans="1:24">
      <c r="A3" s="84">
        <v>6</v>
      </c>
      <c r="B3" s="84">
        <f>1/60*6</f>
        <v>0.1</v>
      </c>
      <c r="C3" s="84">
        <v>0.25</v>
      </c>
      <c r="D3" s="84">
        <v>0.15</v>
      </c>
      <c r="E3" s="84">
        <v>0.5</v>
      </c>
      <c r="F3" s="84">
        <v>0.5</v>
      </c>
      <c r="G3" s="84">
        <v>2</v>
      </c>
      <c r="H3" s="84">
        <v>0.25</v>
      </c>
      <c r="I3" s="84">
        <v>0.5</v>
      </c>
      <c r="J3" s="84">
        <v>1</v>
      </c>
      <c r="K3" s="84">
        <v>0.5</v>
      </c>
      <c r="L3" s="94">
        <f>IF($A3=6,0.45*2,IF($A3=8,0.68*2,IF($A3=10,0.94*2,IF($A3=12,1.25*2,IF($A3=14,1.61*2,IF($A3=16,2.01*2,IF($A3=18,2.45*2,IF($A3=20,3.1*2,IF($A3=22,3.47*2,IF($A3=24,4.34*2,IF($A3=25,4.34*2,IF($A3=26,4.66*2,IF($A3=28,5.32*2,IF($A3=30,6.03*2,IF($A3=32,6.78*2)))))))))))))))</f>
        <v>0.9</v>
      </c>
      <c r="M3" s="84">
        <v>0.5</v>
      </c>
      <c r="N3" s="84">
        <v>0.5</v>
      </c>
      <c r="O3" s="84">
        <v>1</v>
      </c>
      <c r="P3" s="84">
        <v>1</v>
      </c>
      <c r="Q3" s="94">
        <f>IF($A3=6,0.45*2,IF($A3=8,0.68*2,IF($A3=10,0.94*2,IF($A3=12,1.25*2,IF($A3=14,1.61*2,IF($A3=16,2.01*2,IF($A3=18,2.45*2,IF($A3=20,3.1*2,IF($A3=22,3.47*2,IF($A3=24,4.34*2,IF($A3=25,4.34*2,IF($A3=26,4.66*2,IF($A3=28,5.32*2,IF($A3=30,6.03*2,IF($A3=32,6.78*2)))))))))))))))</f>
        <v>0.9</v>
      </c>
      <c r="R3" s="84">
        <v>1</v>
      </c>
      <c r="S3" s="94">
        <f>IF($A3=6,0.45*2,IF($A3=8,0.68*2,IF($A3=10,0.94*2,IF($A3=12,1.25*2,IF($A3=14,1.61*2,IF($A3=16,2.01*2,IF($A3=18,2.45*2,IF($A3=20,3.1*2,IF($A3=22,3.47*2,IF($A3=24,4.34*2,IF($A3=25,4.34*2,IF($A3=26,4.66*2,IF($A3=28,5.32*2,IF($A3=30,6.03*2,IF($A3=32,6.78*2)))))))))))))))</f>
        <v>0.9</v>
      </c>
      <c r="T3" s="84">
        <v>0.5</v>
      </c>
      <c r="U3" s="84">
        <v>1</v>
      </c>
      <c r="V3" s="94">
        <f>IF($A3=6,0.3*2,IF($A3=8,0.4*2,IF($A3=10,0.6*2,IF($A3=12,0.8*2,IF($A3=14,1.1*2,IF($A3=16,1.4*2,IF($A3=18,1.7*2,IF($A3=20,2*2,IF($A3=22,2.4*2,IF($A3=24,2.8*2,IF($A3=25,3*2,IF($A3=26,3.7*2,IF($A3=28,3.7*2,IF($A3=30,4.2*2,IF($A3=32,4.7*2)))))))))))))))</f>
        <v>0.6</v>
      </c>
      <c r="W3" s="94">
        <f>IF($A3=6,0.3*2,IF($A3=8,0.4*2,IF($A3=10,0.6*2,IF($A3=12,0.8*2,IF($A3=14,1.1*2,IF($A3=16,1.4*2,IF($A3=18,1.7*2,IF($A3=20,2*2,IF($A3=22,2.4*2,IF($A3=24,2.8*2,IF($A3=25,3*2,IF($A3=26,3.7*2,IF($A3=28,3.7*2,IF($A3=30,4.2*2,IF($A3=32,4.7*2)))))))))))))))*2</f>
        <v>1.2</v>
      </c>
      <c r="X3" s="89"/>
    </row>
    <row r="4" spans="1:24">
      <c r="A4" s="84">
        <v>8</v>
      </c>
      <c r="B4" s="84">
        <f t="shared" ref="B4:B18" si="0">1/60*6</f>
        <v>0.1</v>
      </c>
      <c r="C4" s="84">
        <v>0.25</v>
      </c>
      <c r="D4" s="84">
        <v>0.15</v>
      </c>
      <c r="E4" s="84">
        <v>0.5</v>
      </c>
      <c r="F4" s="84">
        <v>0.5</v>
      </c>
      <c r="G4" s="84">
        <v>2</v>
      </c>
      <c r="H4" s="84">
        <v>0.25</v>
      </c>
      <c r="I4" s="84">
        <v>0.5</v>
      </c>
      <c r="J4" s="84">
        <v>1</v>
      </c>
      <c r="K4" s="84">
        <v>0.5</v>
      </c>
      <c r="L4" s="94">
        <f t="shared" ref="L4:L14" si="1">IF(A4=6,0.45*2,IF(A4=8,0.68*2,IF(A4=10,0.94*2,IF(A4=12,1.25*2,IF(A4=14,1.61*2,IF(A4=16,2.01*2,IF(A4=18,2.45*2,IF(A4=20,3.1*2,IF(A4=22,3.47*2,IF(A4=24,4.34*2,IF(A4=25,4.34*2,IF(A4=26,4.66*2,IF(A4=28,5.32*2,IF(A4=30,6.03*2,IF(A4=32,6.78*2)))))))))))))))</f>
        <v>1.36</v>
      </c>
      <c r="M4" s="84">
        <v>0.5</v>
      </c>
      <c r="N4" s="84">
        <v>0.5</v>
      </c>
      <c r="O4" s="84">
        <v>1</v>
      </c>
      <c r="P4" s="84">
        <v>1</v>
      </c>
      <c r="Q4" s="94">
        <f t="shared" ref="Q4:S18" si="2">IF($A4=6,0.45*2,IF($A4=8,0.68*2,IF($A4=10,0.94*2,IF($A4=12,1.25*2,IF($A4=14,1.61*2,IF($A4=16,2.01*2,IF($A4=18,2.45*2,IF($A4=20,3.1*2,IF($A4=22,3.47*2,IF($A4=24,4.34*2,IF($A4=25,4.34*2,IF($A4=26,4.66*2,IF($A4=28,5.32*2,IF($A4=30,6.03*2,IF($A4=32,6.78*2)))))))))))))))</f>
        <v>1.36</v>
      </c>
      <c r="R4" s="84">
        <v>1</v>
      </c>
      <c r="S4" s="94">
        <f t="shared" si="2"/>
        <v>1.36</v>
      </c>
      <c r="T4" s="84">
        <v>0.5</v>
      </c>
      <c r="U4" s="84">
        <v>1</v>
      </c>
      <c r="V4" s="94">
        <f t="shared" ref="V4:V18" si="3">IF($A4=6,0.3*2,IF($A4=8,0.4*2,IF($A4=10,0.6*2,IF($A4=12,0.8*2,IF($A4=14,1.1*2,IF($A4=16,1.4*2,IF($A4=18,1.7*2,IF($A4=20,2*2,IF($A4=22,2.4*2,IF($A4=24,2.8*2,IF($A4=25,3*2,IF($A4=26,3.7*2,IF($A4=28,3.7*2,IF($A4=30,4.2*2,IF($A4=32,4.7*2)))))))))))))))</f>
        <v>0.8</v>
      </c>
      <c r="W4" s="94">
        <f t="shared" ref="W4:W18" si="4">IF($A4=6,0.3*2,IF($A4=8,0.4*2,IF($A4=10,0.6*2,IF($A4=12,0.8*2,IF($A4=14,1.1*2,IF($A4=16,1.4*2,IF($A4=18,1.7*2,IF($A4=20,2*2,IF($A4=22,2.4*2,IF($A4=24,2.8*2,IF($A4=25,3*2,IF($A4=26,3.7*2,IF($A4=28,3.7*2,IF($A4=30,4.2*2,IF($A4=32,4.7*2)))))))))))))))*2</f>
        <v>1.6</v>
      </c>
      <c r="X4" s="89"/>
    </row>
    <row r="5" spans="1:24">
      <c r="A5" s="84">
        <v>10</v>
      </c>
      <c r="B5" s="84">
        <f t="shared" si="0"/>
        <v>0.1</v>
      </c>
      <c r="C5" s="84">
        <v>0.25</v>
      </c>
      <c r="D5" s="84">
        <v>0.15</v>
      </c>
      <c r="E5" s="84">
        <v>0.5</v>
      </c>
      <c r="F5" s="84">
        <v>0.5</v>
      </c>
      <c r="G5" s="84">
        <v>2</v>
      </c>
      <c r="H5" s="84">
        <v>0.25</v>
      </c>
      <c r="I5" s="84">
        <v>0.5</v>
      </c>
      <c r="J5" s="84">
        <v>1</v>
      </c>
      <c r="K5" s="84">
        <v>0.5</v>
      </c>
      <c r="L5" s="94">
        <f t="shared" si="1"/>
        <v>1.88</v>
      </c>
      <c r="M5" s="84">
        <v>0.5</v>
      </c>
      <c r="N5" s="84">
        <v>0.5</v>
      </c>
      <c r="O5" s="84">
        <v>1</v>
      </c>
      <c r="P5" s="84">
        <v>1</v>
      </c>
      <c r="Q5" s="94">
        <f t="shared" si="2"/>
        <v>1.88</v>
      </c>
      <c r="R5" s="84">
        <v>1</v>
      </c>
      <c r="S5" s="94">
        <f t="shared" si="2"/>
        <v>1.88</v>
      </c>
      <c r="T5" s="84">
        <v>0.5</v>
      </c>
      <c r="U5" s="84">
        <v>2</v>
      </c>
      <c r="V5" s="94">
        <f t="shared" si="3"/>
        <v>1.2</v>
      </c>
      <c r="W5" s="94">
        <f t="shared" si="4"/>
        <v>2.4</v>
      </c>
      <c r="X5" s="89"/>
    </row>
    <row r="6" spans="1:24">
      <c r="A6" s="84">
        <v>12</v>
      </c>
      <c r="B6" s="84">
        <f t="shared" si="0"/>
        <v>0.1</v>
      </c>
      <c r="C6" s="84">
        <v>0.25</v>
      </c>
      <c r="D6" s="84">
        <v>0.15</v>
      </c>
      <c r="E6" s="84">
        <v>0.5</v>
      </c>
      <c r="F6" s="84">
        <v>1</v>
      </c>
      <c r="G6" s="84">
        <v>2</v>
      </c>
      <c r="H6" s="84">
        <v>0.3</v>
      </c>
      <c r="I6" s="84">
        <v>1</v>
      </c>
      <c r="J6" s="84">
        <v>1</v>
      </c>
      <c r="K6" s="84">
        <v>0.5</v>
      </c>
      <c r="L6" s="94">
        <f t="shared" si="1"/>
        <v>2.5</v>
      </c>
      <c r="M6" s="84">
        <v>0.45</v>
      </c>
      <c r="N6" s="84">
        <v>0.5</v>
      </c>
      <c r="O6" s="84">
        <v>1</v>
      </c>
      <c r="P6" s="84">
        <v>1</v>
      </c>
      <c r="Q6" s="94">
        <f t="shared" si="2"/>
        <v>2.5</v>
      </c>
      <c r="R6" s="84">
        <v>1</v>
      </c>
      <c r="S6" s="94">
        <f t="shared" si="2"/>
        <v>2.5</v>
      </c>
      <c r="T6" s="84">
        <v>0.5</v>
      </c>
      <c r="U6" s="84">
        <v>2</v>
      </c>
      <c r="V6" s="94">
        <f t="shared" si="3"/>
        <v>1.6</v>
      </c>
      <c r="W6" s="94">
        <f t="shared" si="4"/>
        <v>3.2</v>
      </c>
      <c r="X6" s="89"/>
    </row>
    <row r="7" spans="1:24">
      <c r="A7" s="84">
        <v>14</v>
      </c>
      <c r="B7" s="84">
        <f t="shared" si="0"/>
        <v>0.1</v>
      </c>
      <c r="C7" s="84">
        <v>0.25</v>
      </c>
      <c r="D7" s="84">
        <v>0.15</v>
      </c>
      <c r="E7" s="84">
        <v>0.5</v>
      </c>
      <c r="F7" s="84">
        <v>1</v>
      </c>
      <c r="G7" s="84">
        <v>2</v>
      </c>
      <c r="H7" s="84">
        <v>0.3</v>
      </c>
      <c r="I7" s="84">
        <v>1</v>
      </c>
      <c r="J7" s="84">
        <v>1</v>
      </c>
      <c r="K7" s="84">
        <v>0.5</v>
      </c>
      <c r="L7" s="94">
        <f t="shared" si="1"/>
        <v>3.22</v>
      </c>
      <c r="M7" s="84">
        <v>0.45</v>
      </c>
      <c r="N7" s="84">
        <v>0.5</v>
      </c>
      <c r="O7" s="84">
        <v>1</v>
      </c>
      <c r="P7" s="84">
        <v>1</v>
      </c>
      <c r="Q7" s="94">
        <f t="shared" si="2"/>
        <v>3.22</v>
      </c>
      <c r="R7" s="84">
        <v>1</v>
      </c>
      <c r="S7" s="94">
        <f t="shared" si="2"/>
        <v>3.22</v>
      </c>
      <c r="T7" s="84">
        <v>0.5</v>
      </c>
      <c r="U7" s="84">
        <v>2</v>
      </c>
      <c r="V7" s="94">
        <f t="shared" si="3"/>
        <v>2.2000000000000002</v>
      </c>
      <c r="W7" s="94">
        <f t="shared" si="4"/>
        <v>4.4000000000000004</v>
      </c>
      <c r="X7" s="89"/>
    </row>
    <row r="8" spans="1:24">
      <c r="A8" s="84">
        <v>16</v>
      </c>
      <c r="B8" s="84">
        <f t="shared" si="0"/>
        <v>0.1</v>
      </c>
      <c r="C8" s="84">
        <v>0.25</v>
      </c>
      <c r="D8" s="84">
        <v>0.15</v>
      </c>
      <c r="E8" s="84">
        <v>0.5</v>
      </c>
      <c r="F8" s="84">
        <v>1</v>
      </c>
      <c r="G8" s="84">
        <v>2</v>
      </c>
      <c r="H8" s="84">
        <v>0.3</v>
      </c>
      <c r="I8" s="84">
        <v>1</v>
      </c>
      <c r="J8" s="84">
        <v>1</v>
      </c>
      <c r="K8" s="84">
        <v>1</v>
      </c>
      <c r="L8" s="94">
        <f t="shared" si="1"/>
        <v>4.0199999999999996</v>
      </c>
      <c r="M8" s="84">
        <v>0.45</v>
      </c>
      <c r="N8" s="84">
        <v>0.5</v>
      </c>
      <c r="O8" s="84">
        <v>1</v>
      </c>
      <c r="P8" s="84">
        <v>1</v>
      </c>
      <c r="Q8" s="94">
        <f t="shared" si="2"/>
        <v>4.0199999999999996</v>
      </c>
      <c r="R8" s="84">
        <v>1</v>
      </c>
      <c r="S8" s="94">
        <f t="shared" si="2"/>
        <v>4.0199999999999996</v>
      </c>
      <c r="T8" s="84">
        <v>0.5</v>
      </c>
      <c r="U8" s="84">
        <v>2</v>
      </c>
      <c r="V8" s="94">
        <f t="shared" si="3"/>
        <v>2.8</v>
      </c>
      <c r="W8" s="94">
        <f t="shared" si="4"/>
        <v>5.6</v>
      </c>
      <c r="X8" s="89"/>
    </row>
    <row r="9" spans="1:24">
      <c r="A9" s="84">
        <v>18</v>
      </c>
      <c r="B9" s="84">
        <f t="shared" si="0"/>
        <v>0.1</v>
      </c>
      <c r="C9" s="84">
        <v>0.25</v>
      </c>
      <c r="D9" s="84">
        <v>0.15</v>
      </c>
      <c r="E9" s="84">
        <v>0.5</v>
      </c>
      <c r="F9" s="84">
        <v>1</v>
      </c>
      <c r="G9" s="84">
        <v>2</v>
      </c>
      <c r="H9" s="84">
        <v>0.3</v>
      </c>
      <c r="I9" s="84">
        <v>1</v>
      </c>
      <c r="J9" s="84">
        <v>1</v>
      </c>
      <c r="K9" s="84">
        <v>1</v>
      </c>
      <c r="L9" s="94">
        <f t="shared" si="1"/>
        <v>4.9000000000000004</v>
      </c>
      <c r="M9" s="84">
        <v>0.45</v>
      </c>
      <c r="N9" s="84">
        <v>0.5</v>
      </c>
      <c r="O9" s="84">
        <v>1</v>
      </c>
      <c r="P9" s="84">
        <v>1</v>
      </c>
      <c r="Q9" s="94">
        <f t="shared" si="2"/>
        <v>4.9000000000000004</v>
      </c>
      <c r="R9" s="84">
        <v>1</v>
      </c>
      <c r="S9" s="94">
        <f t="shared" si="2"/>
        <v>4.9000000000000004</v>
      </c>
      <c r="T9" s="84">
        <v>0.5</v>
      </c>
      <c r="U9" s="84">
        <v>2</v>
      </c>
      <c r="V9" s="94">
        <f t="shared" si="3"/>
        <v>3.4</v>
      </c>
      <c r="W9" s="94">
        <f t="shared" si="4"/>
        <v>6.8</v>
      </c>
      <c r="X9" s="89"/>
    </row>
    <row r="10" spans="1:24">
      <c r="A10" s="84">
        <v>20</v>
      </c>
      <c r="B10" s="84">
        <f t="shared" si="0"/>
        <v>0.1</v>
      </c>
      <c r="C10" s="84">
        <v>0.25</v>
      </c>
      <c r="D10" s="84">
        <v>0.15</v>
      </c>
      <c r="E10" s="84">
        <v>0.5</v>
      </c>
      <c r="F10" s="84">
        <v>1</v>
      </c>
      <c r="G10" s="84">
        <v>2</v>
      </c>
      <c r="H10" s="84">
        <v>0.5</v>
      </c>
      <c r="I10" s="84">
        <v>1</v>
      </c>
      <c r="J10" s="84">
        <v>1</v>
      </c>
      <c r="K10" s="84">
        <v>1</v>
      </c>
      <c r="L10" s="94">
        <f t="shared" si="1"/>
        <v>6.2</v>
      </c>
      <c r="M10" s="84">
        <v>1</v>
      </c>
      <c r="N10" s="84">
        <v>0.5</v>
      </c>
      <c r="O10" s="84">
        <v>1</v>
      </c>
      <c r="P10" s="84">
        <v>1</v>
      </c>
      <c r="Q10" s="94">
        <f t="shared" si="2"/>
        <v>6.2</v>
      </c>
      <c r="R10" s="84">
        <v>1</v>
      </c>
      <c r="S10" s="94">
        <f t="shared" si="2"/>
        <v>6.2</v>
      </c>
      <c r="T10" s="84">
        <v>0.5</v>
      </c>
      <c r="U10" s="84">
        <v>2</v>
      </c>
      <c r="V10" s="94">
        <f t="shared" si="3"/>
        <v>4</v>
      </c>
      <c r="W10" s="94">
        <f t="shared" si="4"/>
        <v>8</v>
      </c>
      <c r="X10" s="89"/>
    </row>
    <row r="11" spans="1:24">
      <c r="A11" s="84">
        <v>22</v>
      </c>
      <c r="B11" s="84">
        <f t="shared" si="0"/>
        <v>0.1</v>
      </c>
      <c r="C11" s="84">
        <v>0.25</v>
      </c>
      <c r="D11" s="84">
        <v>0.15</v>
      </c>
      <c r="E11" s="84">
        <v>0.5</v>
      </c>
      <c r="F11" s="84">
        <v>1</v>
      </c>
      <c r="G11" s="84">
        <v>2</v>
      </c>
      <c r="H11" s="84">
        <v>0.5</v>
      </c>
      <c r="I11" s="84">
        <v>1</v>
      </c>
      <c r="J11" s="84">
        <v>1</v>
      </c>
      <c r="K11" s="84">
        <v>1</v>
      </c>
      <c r="L11" s="94">
        <f t="shared" si="1"/>
        <v>6.94</v>
      </c>
      <c r="M11" s="84">
        <v>1</v>
      </c>
      <c r="N11" s="84">
        <v>0.5</v>
      </c>
      <c r="O11" s="84">
        <v>1</v>
      </c>
      <c r="P11" s="84">
        <v>1</v>
      </c>
      <c r="Q11" s="94">
        <f t="shared" si="2"/>
        <v>6.94</v>
      </c>
      <c r="R11" s="84">
        <v>1</v>
      </c>
      <c r="S11" s="94">
        <f t="shared" si="2"/>
        <v>6.94</v>
      </c>
      <c r="T11" s="84">
        <v>0.5</v>
      </c>
      <c r="U11" s="84">
        <v>2</v>
      </c>
      <c r="V11" s="94">
        <f t="shared" si="3"/>
        <v>4.8</v>
      </c>
      <c r="W11" s="94">
        <f t="shared" si="4"/>
        <v>9.6</v>
      </c>
      <c r="X11" s="89"/>
    </row>
    <row r="12" spans="1:24">
      <c r="A12" s="84">
        <v>24</v>
      </c>
      <c r="B12" s="84">
        <f t="shared" si="0"/>
        <v>0.1</v>
      </c>
      <c r="C12" s="84">
        <v>0.25</v>
      </c>
      <c r="D12" s="84">
        <v>0.15</v>
      </c>
      <c r="E12" s="84">
        <v>0.5</v>
      </c>
      <c r="F12" s="84">
        <v>1</v>
      </c>
      <c r="G12" s="84">
        <v>2</v>
      </c>
      <c r="H12" s="84">
        <v>0.5</v>
      </c>
      <c r="I12" s="84">
        <v>1</v>
      </c>
      <c r="J12" s="84">
        <v>1</v>
      </c>
      <c r="K12" s="84">
        <v>1</v>
      </c>
      <c r="L12" s="94">
        <f t="shared" si="1"/>
        <v>8.68</v>
      </c>
      <c r="M12" s="84">
        <v>1</v>
      </c>
      <c r="N12" s="84">
        <v>0.5</v>
      </c>
      <c r="O12" s="84">
        <v>1</v>
      </c>
      <c r="P12" s="84">
        <v>1</v>
      </c>
      <c r="Q12" s="94">
        <f t="shared" si="2"/>
        <v>8.68</v>
      </c>
      <c r="R12" s="84">
        <v>1</v>
      </c>
      <c r="S12" s="94">
        <f t="shared" si="2"/>
        <v>8.68</v>
      </c>
      <c r="T12" s="84">
        <v>0.5</v>
      </c>
      <c r="U12" s="84">
        <v>2</v>
      </c>
      <c r="V12" s="94">
        <f t="shared" si="3"/>
        <v>5.6</v>
      </c>
      <c r="W12" s="94">
        <f t="shared" si="4"/>
        <v>11.2</v>
      </c>
      <c r="X12" s="89"/>
    </row>
    <row r="13" spans="1:24">
      <c r="A13" s="84">
        <v>25</v>
      </c>
      <c r="B13" s="84">
        <f t="shared" si="0"/>
        <v>0.1</v>
      </c>
      <c r="C13" s="84">
        <v>0.25</v>
      </c>
      <c r="D13" s="84">
        <v>0.15</v>
      </c>
      <c r="E13" s="84">
        <v>0.5</v>
      </c>
      <c r="F13" s="84">
        <v>1</v>
      </c>
      <c r="G13" s="84">
        <v>2</v>
      </c>
      <c r="H13" s="84">
        <v>0.5</v>
      </c>
      <c r="I13" s="84">
        <v>1</v>
      </c>
      <c r="J13" s="84">
        <v>1</v>
      </c>
      <c r="K13" s="84">
        <v>1</v>
      </c>
      <c r="L13" s="94">
        <f t="shared" si="1"/>
        <v>8.68</v>
      </c>
      <c r="M13" s="84">
        <v>1</v>
      </c>
      <c r="N13" s="84">
        <v>0.5</v>
      </c>
      <c r="O13" s="84">
        <v>1</v>
      </c>
      <c r="P13" s="84">
        <v>1</v>
      </c>
      <c r="Q13" s="94">
        <f t="shared" si="2"/>
        <v>8.68</v>
      </c>
      <c r="R13" s="84">
        <v>1</v>
      </c>
      <c r="S13" s="94">
        <f t="shared" si="2"/>
        <v>8.68</v>
      </c>
      <c r="T13" s="84">
        <v>0.5</v>
      </c>
      <c r="U13" s="84">
        <v>2</v>
      </c>
      <c r="V13" s="94">
        <f t="shared" si="3"/>
        <v>6</v>
      </c>
      <c r="W13" s="94">
        <f t="shared" si="4"/>
        <v>12</v>
      </c>
      <c r="X13" s="89"/>
    </row>
    <row r="14" spans="1:24">
      <c r="A14" s="84">
        <v>28</v>
      </c>
      <c r="B14" s="84">
        <f t="shared" si="0"/>
        <v>0.1</v>
      </c>
      <c r="C14" s="84">
        <v>0.25</v>
      </c>
      <c r="D14" s="84">
        <v>0.15</v>
      </c>
      <c r="E14" s="84">
        <v>0.5</v>
      </c>
      <c r="F14" s="84">
        <v>1</v>
      </c>
      <c r="G14" s="84">
        <v>2</v>
      </c>
      <c r="H14" s="84">
        <v>0.5</v>
      </c>
      <c r="I14" s="84">
        <v>1</v>
      </c>
      <c r="J14" s="84">
        <v>1</v>
      </c>
      <c r="K14" s="84">
        <v>1</v>
      </c>
      <c r="L14" s="94">
        <f t="shared" si="1"/>
        <v>10.64</v>
      </c>
      <c r="M14" s="84">
        <v>1</v>
      </c>
      <c r="N14" s="84">
        <v>0.5</v>
      </c>
      <c r="O14" s="84">
        <v>1</v>
      </c>
      <c r="P14" s="84">
        <v>1</v>
      </c>
      <c r="Q14" s="94">
        <f t="shared" si="2"/>
        <v>10.64</v>
      </c>
      <c r="R14" s="84">
        <v>1</v>
      </c>
      <c r="S14" s="94">
        <f t="shared" si="2"/>
        <v>10.64</v>
      </c>
      <c r="T14" s="84">
        <v>0.5</v>
      </c>
      <c r="U14" s="84">
        <v>2</v>
      </c>
      <c r="V14" s="94">
        <f t="shared" si="3"/>
        <v>7.4</v>
      </c>
      <c r="W14" s="94">
        <f t="shared" si="4"/>
        <v>14.8</v>
      </c>
      <c r="X14" s="89"/>
    </row>
    <row r="15" spans="1:24">
      <c r="A15" s="84">
        <v>30</v>
      </c>
      <c r="B15" s="84">
        <f t="shared" si="0"/>
        <v>0.1</v>
      </c>
      <c r="C15" s="84">
        <v>0.25</v>
      </c>
      <c r="D15" s="84">
        <v>0.15</v>
      </c>
      <c r="E15" s="84">
        <v>0.5</v>
      </c>
      <c r="F15" s="84">
        <v>1</v>
      </c>
      <c r="G15" s="84">
        <v>2</v>
      </c>
      <c r="H15" s="84">
        <v>0.5</v>
      </c>
      <c r="I15" s="84">
        <v>1</v>
      </c>
      <c r="J15" s="84">
        <v>1</v>
      </c>
      <c r="K15" s="84">
        <v>1</v>
      </c>
      <c r="L15" s="94">
        <f t="shared" ref="L15:L18" si="5">IF(A15=6,0.45*2,IF(A15=8,0.68*2,IF(A15=10,0.94*2,IF(A15=12,1.25*2,IF(A15=14,1.61*2,IF(A15=16,2.01*2,IF(A15=18,2.45*2,IF(A15=20,3.1*2,IF(A15=22,3.47*2,IF(A15=24,4.34*2,IF(A15=25,4.34*2,IF(A15=26,4.66*2,IF(A15=28,5.32*2,IF(A15=30,6.03*2,IF(A15=32,6.78*2)))))))))))))))</f>
        <v>12.06</v>
      </c>
      <c r="M15" s="84">
        <v>1</v>
      </c>
      <c r="N15" s="84">
        <v>0.5</v>
      </c>
      <c r="O15" s="84">
        <v>1</v>
      </c>
      <c r="P15" s="84">
        <v>1</v>
      </c>
      <c r="Q15" s="94">
        <f t="shared" si="2"/>
        <v>12.06</v>
      </c>
      <c r="R15" s="84">
        <v>1</v>
      </c>
      <c r="S15" s="94">
        <f t="shared" si="2"/>
        <v>12.06</v>
      </c>
      <c r="T15" s="84">
        <v>0.5</v>
      </c>
      <c r="U15" s="84">
        <v>2</v>
      </c>
      <c r="V15" s="94">
        <f t="shared" si="3"/>
        <v>8.4</v>
      </c>
      <c r="W15" s="94">
        <f t="shared" si="4"/>
        <v>16.8</v>
      </c>
      <c r="X15" s="89"/>
    </row>
    <row r="16" spans="1:24">
      <c r="A16" s="84">
        <v>35</v>
      </c>
      <c r="B16" s="84">
        <f t="shared" si="0"/>
        <v>0.1</v>
      </c>
      <c r="C16" s="84">
        <v>0.25</v>
      </c>
      <c r="D16" s="84">
        <v>0.15</v>
      </c>
      <c r="E16" s="84">
        <v>0.5</v>
      </c>
      <c r="F16" s="84">
        <v>1</v>
      </c>
      <c r="G16" s="84">
        <v>2</v>
      </c>
      <c r="H16" s="84">
        <v>0.5</v>
      </c>
      <c r="I16" s="84">
        <v>1</v>
      </c>
      <c r="J16" s="84">
        <v>1</v>
      </c>
      <c r="K16" s="84">
        <v>1</v>
      </c>
      <c r="L16" s="94" t="b">
        <f t="shared" si="5"/>
        <v>0</v>
      </c>
      <c r="M16" s="84">
        <v>1</v>
      </c>
      <c r="N16" s="84">
        <v>0.5</v>
      </c>
      <c r="O16" s="84">
        <v>1</v>
      </c>
      <c r="P16" s="84">
        <v>1</v>
      </c>
      <c r="Q16" s="94" t="b">
        <f t="shared" si="2"/>
        <v>0</v>
      </c>
      <c r="R16" s="84">
        <v>1</v>
      </c>
      <c r="S16" s="94" t="b">
        <f t="shared" si="2"/>
        <v>0</v>
      </c>
      <c r="T16" s="84">
        <v>0.5</v>
      </c>
      <c r="U16" s="84">
        <v>2</v>
      </c>
      <c r="V16" s="94" t="b">
        <f t="shared" si="3"/>
        <v>0</v>
      </c>
      <c r="W16" s="94">
        <f t="shared" si="4"/>
        <v>0</v>
      </c>
      <c r="X16" s="89"/>
    </row>
    <row r="17" spans="1:24">
      <c r="A17" s="84">
        <v>40</v>
      </c>
      <c r="B17" s="84">
        <f t="shared" si="0"/>
        <v>0.1</v>
      </c>
      <c r="C17" s="84">
        <v>0.25</v>
      </c>
      <c r="D17" s="84">
        <v>0.15</v>
      </c>
      <c r="E17" s="84">
        <v>0.5</v>
      </c>
      <c r="F17" s="84">
        <v>1</v>
      </c>
      <c r="G17" s="84">
        <v>2</v>
      </c>
      <c r="H17" s="84">
        <v>0.5</v>
      </c>
      <c r="I17" s="84">
        <v>1</v>
      </c>
      <c r="J17" s="84">
        <v>1</v>
      </c>
      <c r="K17" s="84">
        <v>1</v>
      </c>
      <c r="L17" s="94" t="b">
        <f t="shared" si="5"/>
        <v>0</v>
      </c>
      <c r="M17" s="84">
        <v>1</v>
      </c>
      <c r="N17" s="84">
        <v>0.5</v>
      </c>
      <c r="O17" s="84">
        <v>1</v>
      </c>
      <c r="P17" s="84">
        <v>1</v>
      </c>
      <c r="Q17" s="94" t="b">
        <f t="shared" si="2"/>
        <v>0</v>
      </c>
      <c r="R17" s="84">
        <v>1</v>
      </c>
      <c r="S17" s="94" t="b">
        <f t="shared" si="2"/>
        <v>0</v>
      </c>
      <c r="T17" s="84">
        <v>0.5</v>
      </c>
      <c r="U17" s="84">
        <v>2</v>
      </c>
      <c r="V17" s="94" t="b">
        <f t="shared" si="3"/>
        <v>0</v>
      </c>
      <c r="W17" s="94">
        <f t="shared" si="4"/>
        <v>0</v>
      </c>
      <c r="X17" s="89"/>
    </row>
    <row r="18" spans="1:24">
      <c r="A18" s="84">
        <v>50</v>
      </c>
      <c r="B18" s="84">
        <f t="shared" si="0"/>
        <v>0.1</v>
      </c>
      <c r="C18" s="84">
        <v>0.25</v>
      </c>
      <c r="D18" s="84">
        <v>0.15</v>
      </c>
      <c r="E18" s="84">
        <v>0.5</v>
      </c>
      <c r="F18" s="84">
        <v>1</v>
      </c>
      <c r="G18" s="84">
        <v>2</v>
      </c>
      <c r="H18" s="84">
        <v>0.5</v>
      </c>
      <c r="I18" s="84">
        <v>1</v>
      </c>
      <c r="J18" s="84">
        <v>1</v>
      </c>
      <c r="K18" s="84">
        <v>1</v>
      </c>
      <c r="L18" s="94" t="b">
        <f t="shared" si="5"/>
        <v>0</v>
      </c>
      <c r="M18" s="84">
        <v>1</v>
      </c>
      <c r="N18" s="84">
        <v>0.5</v>
      </c>
      <c r="O18" s="84">
        <v>1</v>
      </c>
      <c r="P18" s="84">
        <v>1</v>
      </c>
      <c r="Q18" s="94" t="b">
        <f t="shared" si="2"/>
        <v>0</v>
      </c>
      <c r="R18" s="84">
        <v>1</v>
      </c>
      <c r="S18" s="94" t="b">
        <f t="shared" si="2"/>
        <v>0</v>
      </c>
      <c r="T18" s="84">
        <v>0.5</v>
      </c>
      <c r="U18" s="84">
        <v>2</v>
      </c>
      <c r="V18" s="94" t="b">
        <f t="shared" si="3"/>
        <v>0</v>
      </c>
      <c r="W18" s="94">
        <f t="shared" si="4"/>
        <v>0</v>
      </c>
      <c r="X18" s="89"/>
    </row>
    <row r="19" spans="1:24">
      <c r="A19" s="259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59"/>
      <c r="U19" s="89"/>
      <c r="V19" s="89"/>
      <c r="W19" s="89"/>
      <c r="X19" s="89"/>
    </row>
    <row r="20" spans="1:24">
      <c r="A20" s="86"/>
      <c r="B20" s="84">
        <v>2</v>
      </c>
      <c r="C20" s="84">
        <v>3</v>
      </c>
      <c r="D20" s="84">
        <v>4</v>
      </c>
      <c r="E20" s="84">
        <v>5</v>
      </c>
      <c r="F20" s="84">
        <v>6</v>
      </c>
      <c r="G20" s="84">
        <v>7</v>
      </c>
      <c r="H20" s="84">
        <v>8</v>
      </c>
      <c r="I20" s="84">
        <v>9</v>
      </c>
      <c r="J20" s="84">
        <v>10</v>
      </c>
      <c r="K20" s="84">
        <v>11</v>
      </c>
      <c r="L20" s="84">
        <v>12</v>
      </c>
      <c r="M20" s="84">
        <v>13</v>
      </c>
      <c r="N20" s="84">
        <v>14</v>
      </c>
      <c r="O20" s="84">
        <v>15</v>
      </c>
      <c r="P20" s="84">
        <v>16</v>
      </c>
      <c r="Q20" s="84">
        <v>17</v>
      </c>
      <c r="R20" s="84">
        <v>18</v>
      </c>
      <c r="S20" s="89"/>
      <c r="T20" s="89"/>
      <c r="U20" s="89"/>
      <c r="V20" s="89"/>
      <c r="W20" s="89"/>
      <c r="X20" s="89"/>
    </row>
    <row r="21" spans="1:24" s="81" customFormat="1" ht="74.25" customHeight="1">
      <c r="A21" s="87" t="s">
        <v>811</v>
      </c>
      <c r="B21" s="87" t="s">
        <v>812</v>
      </c>
      <c r="C21" s="87" t="s">
        <v>813</v>
      </c>
      <c r="D21" s="87" t="s">
        <v>814</v>
      </c>
      <c r="E21" s="87" t="s">
        <v>815</v>
      </c>
      <c r="F21" s="87" t="s">
        <v>816</v>
      </c>
      <c r="G21" s="87" t="s">
        <v>817</v>
      </c>
      <c r="H21" s="87" t="s">
        <v>818</v>
      </c>
      <c r="I21" s="87" t="s">
        <v>819</v>
      </c>
      <c r="J21" s="87" t="s">
        <v>820</v>
      </c>
      <c r="K21" s="87" t="s">
        <v>821</v>
      </c>
      <c r="L21" s="87" t="s">
        <v>822</v>
      </c>
      <c r="M21" s="87" t="s">
        <v>823</v>
      </c>
      <c r="N21" s="87" t="s">
        <v>824</v>
      </c>
      <c r="O21" s="87" t="s">
        <v>825</v>
      </c>
      <c r="P21" s="87" t="s">
        <v>826</v>
      </c>
      <c r="Q21" s="87" t="s">
        <v>827</v>
      </c>
      <c r="R21" s="87" t="s">
        <v>828</v>
      </c>
      <c r="S21" s="96"/>
      <c r="T21" s="96"/>
      <c r="U21" s="96"/>
      <c r="V21" s="96"/>
      <c r="W21" s="96"/>
      <c r="X21" s="96"/>
    </row>
    <row r="22" spans="1:24">
      <c r="A22" s="84" t="s">
        <v>829</v>
      </c>
      <c r="B22" s="84">
        <v>0.5</v>
      </c>
      <c r="C22" s="84">
        <v>0.5</v>
      </c>
      <c r="D22" s="84">
        <v>0.5</v>
      </c>
      <c r="E22" s="84">
        <v>0.5</v>
      </c>
      <c r="F22" s="84">
        <v>0.5</v>
      </c>
      <c r="G22" s="84">
        <v>0.5</v>
      </c>
      <c r="H22" s="84">
        <v>0.5</v>
      </c>
      <c r="I22" s="84">
        <v>0.5</v>
      </c>
      <c r="J22" s="84">
        <v>0.5</v>
      </c>
      <c r="K22" s="84">
        <v>1</v>
      </c>
      <c r="L22" s="84"/>
      <c r="M22" s="84"/>
      <c r="N22" s="84"/>
      <c r="O22" s="84"/>
      <c r="P22" s="84"/>
      <c r="Q22" s="84"/>
      <c r="R22" s="84">
        <v>0.5</v>
      </c>
      <c r="S22" s="89"/>
      <c r="T22" s="89"/>
      <c r="U22" s="89"/>
      <c r="V22" s="89"/>
      <c r="W22" s="89"/>
      <c r="X22" s="89"/>
    </row>
    <row r="23" spans="1:24">
      <c r="A23" s="84" t="s">
        <v>560</v>
      </c>
      <c r="B23" s="84">
        <v>0.5</v>
      </c>
      <c r="C23" s="84">
        <v>0.5</v>
      </c>
      <c r="D23" s="84">
        <v>0.5</v>
      </c>
      <c r="E23" s="84">
        <v>0.5</v>
      </c>
      <c r="F23" s="84">
        <v>0.5</v>
      </c>
      <c r="G23" s="84">
        <v>0.5</v>
      </c>
      <c r="H23" s="84">
        <v>0.5</v>
      </c>
      <c r="I23" s="84">
        <v>0.5</v>
      </c>
      <c r="J23" s="84">
        <v>0.5</v>
      </c>
      <c r="K23" s="84">
        <v>1</v>
      </c>
      <c r="L23" s="84"/>
      <c r="M23" s="84"/>
      <c r="N23" s="84"/>
      <c r="O23" s="84"/>
      <c r="P23" s="84"/>
      <c r="Q23" s="84"/>
      <c r="R23" s="84">
        <v>0.5</v>
      </c>
      <c r="S23" s="89"/>
      <c r="T23" s="89"/>
      <c r="U23" s="89"/>
      <c r="V23" s="89"/>
      <c r="W23" s="89"/>
      <c r="X23" s="89"/>
    </row>
    <row r="24" spans="1:24">
      <c r="A24" s="84" t="s">
        <v>830</v>
      </c>
      <c r="B24" s="84">
        <v>0.5</v>
      </c>
      <c r="C24" s="84">
        <v>0.5</v>
      </c>
      <c r="D24" s="84">
        <v>0.5</v>
      </c>
      <c r="E24" s="84">
        <v>0.5</v>
      </c>
      <c r="F24" s="84">
        <v>0.5</v>
      </c>
      <c r="G24" s="84">
        <v>0.5</v>
      </c>
      <c r="H24" s="84">
        <v>0.5</v>
      </c>
      <c r="I24" s="84">
        <v>0.5</v>
      </c>
      <c r="J24" s="84">
        <v>0.5</v>
      </c>
      <c r="K24" s="84">
        <v>1</v>
      </c>
      <c r="L24" s="84"/>
      <c r="M24" s="84"/>
      <c r="N24" s="84"/>
      <c r="O24" s="84"/>
      <c r="P24" s="84"/>
      <c r="Q24" s="84"/>
      <c r="R24" s="84">
        <v>0.5</v>
      </c>
      <c r="S24" s="89"/>
      <c r="T24" s="89"/>
      <c r="U24" s="89"/>
      <c r="V24" s="89"/>
      <c r="W24" s="89"/>
      <c r="X24" s="89"/>
    </row>
    <row r="25" spans="1:24">
      <c r="A25" s="84" t="s">
        <v>831</v>
      </c>
      <c r="B25" s="84">
        <v>0.5</v>
      </c>
      <c r="C25" s="84">
        <v>0.5</v>
      </c>
      <c r="D25" s="84">
        <v>0.5</v>
      </c>
      <c r="E25" s="84">
        <v>0.5</v>
      </c>
      <c r="F25" s="84">
        <v>0.5</v>
      </c>
      <c r="G25" s="84">
        <v>0.5</v>
      </c>
      <c r="H25" s="84">
        <v>0.5</v>
      </c>
      <c r="I25" s="84">
        <v>0.5</v>
      </c>
      <c r="J25" s="84">
        <v>0.5</v>
      </c>
      <c r="K25" s="84">
        <v>1</v>
      </c>
      <c r="L25" s="84"/>
      <c r="M25" s="84"/>
      <c r="N25" s="84"/>
      <c r="O25" s="84"/>
      <c r="P25" s="84"/>
      <c r="Q25" s="84"/>
      <c r="R25" s="84">
        <v>0.5</v>
      </c>
      <c r="S25" s="89"/>
      <c r="T25" s="89"/>
      <c r="U25" s="89"/>
      <c r="V25" s="89"/>
      <c r="W25" s="89"/>
      <c r="X25" s="89"/>
    </row>
    <row r="26" spans="1:24">
      <c r="A26" s="84" t="s">
        <v>832</v>
      </c>
      <c r="B26" s="84">
        <v>0.5</v>
      </c>
      <c r="C26" s="84">
        <v>0.5</v>
      </c>
      <c r="D26" s="84">
        <v>0.5</v>
      </c>
      <c r="E26" s="84">
        <v>0.5</v>
      </c>
      <c r="F26" s="84">
        <v>0.5</v>
      </c>
      <c r="G26" s="84">
        <v>0.5</v>
      </c>
      <c r="H26" s="84">
        <v>0.5</v>
      </c>
      <c r="I26" s="84">
        <v>0.5</v>
      </c>
      <c r="J26" s="84">
        <v>0.5</v>
      </c>
      <c r="K26" s="84">
        <v>1</v>
      </c>
      <c r="L26" s="84"/>
      <c r="M26" s="84"/>
      <c r="N26" s="84"/>
      <c r="O26" s="84"/>
      <c r="P26" s="84"/>
      <c r="Q26" s="84"/>
      <c r="R26" s="84">
        <v>0.5</v>
      </c>
      <c r="S26" s="89"/>
      <c r="T26" s="89"/>
      <c r="U26" s="89"/>
      <c r="V26" s="89"/>
      <c r="W26" s="89"/>
      <c r="X26" s="89"/>
    </row>
    <row r="27" spans="1:24">
      <c r="A27" s="84" t="s">
        <v>833</v>
      </c>
      <c r="B27" s="84">
        <v>0.45</v>
      </c>
      <c r="C27" s="84">
        <v>0.5</v>
      </c>
      <c r="D27" s="84">
        <v>0.5</v>
      </c>
      <c r="E27" s="84">
        <v>0.45</v>
      </c>
      <c r="F27" s="84">
        <v>0.5</v>
      </c>
      <c r="G27" s="84">
        <v>0.45</v>
      </c>
      <c r="H27" s="84">
        <v>0.45</v>
      </c>
      <c r="I27" s="84">
        <v>0.45</v>
      </c>
      <c r="J27" s="84">
        <v>0.45</v>
      </c>
      <c r="K27" s="84">
        <v>1</v>
      </c>
      <c r="L27" s="84">
        <v>1</v>
      </c>
      <c r="M27" s="84">
        <v>1</v>
      </c>
      <c r="N27" s="84">
        <v>2</v>
      </c>
      <c r="O27" s="84">
        <v>2</v>
      </c>
      <c r="P27" s="84"/>
      <c r="Q27" s="84">
        <v>1</v>
      </c>
      <c r="R27" s="84">
        <v>0.45</v>
      </c>
      <c r="S27" s="89"/>
      <c r="T27" s="89"/>
      <c r="U27" s="89"/>
      <c r="V27" s="89"/>
      <c r="W27" s="89"/>
      <c r="X27" s="89"/>
    </row>
    <row r="28" spans="1:24">
      <c r="A28" s="84" t="s">
        <v>834</v>
      </c>
      <c r="B28" s="84">
        <v>0.45</v>
      </c>
      <c r="C28" s="84">
        <v>5</v>
      </c>
      <c r="D28" s="84">
        <v>1</v>
      </c>
      <c r="E28" s="84">
        <v>1</v>
      </c>
      <c r="F28" s="84">
        <v>1</v>
      </c>
      <c r="G28" s="84">
        <v>1</v>
      </c>
      <c r="H28" s="84">
        <v>1</v>
      </c>
      <c r="I28" s="84">
        <v>1</v>
      </c>
      <c r="J28" s="84">
        <v>1</v>
      </c>
      <c r="K28" s="84">
        <v>2</v>
      </c>
      <c r="L28" s="84">
        <v>1</v>
      </c>
      <c r="M28" s="84">
        <v>1</v>
      </c>
      <c r="N28" s="84">
        <v>2</v>
      </c>
      <c r="O28" s="84">
        <v>2</v>
      </c>
      <c r="P28" s="84"/>
      <c r="Q28" s="84">
        <v>1</v>
      </c>
      <c r="R28" s="84">
        <v>0.45</v>
      </c>
      <c r="S28" s="89"/>
      <c r="T28" s="89"/>
      <c r="U28" s="89"/>
      <c r="V28" s="89"/>
      <c r="W28" s="89"/>
      <c r="X28" s="89"/>
    </row>
    <row r="29" spans="1:24">
      <c r="A29" s="84" t="s">
        <v>835</v>
      </c>
      <c r="B29" s="84">
        <v>0.45</v>
      </c>
      <c r="C29" s="84">
        <v>0.5</v>
      </c>
      <c r="D29" s="84">
        <v>1</v>
      </c>
      <c r="E29" s="84">
        <v>1</v>
      </c>
      <c r="F29" s="84">
        <v>1</v>
      </c>
      <c r="G29" s="84">
        <v>1</v>
      </c>
      <c r="H29" s="84">
        <v>1</v>
      </c>
      <c r="I29" s="84">
        <v>1</v>
      </c>
      <c r="J29" s="84">
        <v>1</v>
      </c>
      <c r="K29" s="84">
        <v>2</v>
      </c>
      <c r="L29" s="84">
        <v>1</v>
      </c>
      <c r="M29" s="84">
        <v>1</v>
      </c>
      <c r="N29" s="84">
        <v>2</v>
      </c>
      <c r="O29" s="84">
        <v>2</v>
      </c>
      <c r="P29" s="84"/>
      <c r="Q29" s="84">
        <v>1</v>
      </c>
      <c r="R29" s="84">
        <v>0.45</v>
      </c>
      <c r="S29" s="89"/>
      <c r="T29" s="89"/>
      <c r="U29" s="89"/>
      <c r="V29" s="89"/>
      <c r="W29" s="89"/>
      <c r="X29" s="89"/>
    </row>
    <row r="30" spans="1:24">
      <c r="A30" s="84" t="s">
        <v>836</v>
      </c>
      <c r="B30" s="84">
        <v>1</v>
      </c>
      <c r="C30" s="84">
        <v>1</v>
      </c>
      <c r="D30" s="88">
        <f>273.1*3.142*0.001*2</f>
        <v>1.7161603999999999</v>
      </c>
      <c r="E30" s="84">
        <v>1</v>
      </c>
      <c r="F30" s="88">
        <f>273.1*3.142*0.001*1</f>
        <v>0.85808019999999996</v>
      </c>
      <c r="G30" s="84">
        <v>1</v>
      </c>
      <c r="H30" s="84">
        <v>1</v>
      </c>
      <c r="I30" s="84">
        <v>1</v>
      </c>
      <c r="J30" s="84">
        <v>1</v>
      </c>
      <c r="K30" s="84">
        <v>2</v>
      </c>
      <c r="L30" s="84">
        <v>1</v>
      </c>
      <c r="M30" s="84">
        <v>1</v>
      </c>
      <c r="N30" s="84">
        <v>2</v>
      </c>
      <c r="O30" s="84">
        <v>2</v>
      </c>
      <c r="P30" s="84"/>
      <c r="Q30" s="84">
        <v>1</v>
      </c>
      <c r="R30" s="84">
        <v>1</v>
      </c>
      <c r="S30" s="89"/>
      <c r="T30" s="89"/>
      <c r="U30" s="89"/>
      <c r="V30" s="89"/>
      <c r="W30" s="89"/>
      <c r="X30" s="89"/>
    </row>
    <row r="31" spans="1:24">
      <c r="A31" s="84" t="s">
        <v>837</v>
      </c>
      <c r="B31" s="84">
        <v>1</v>
      </c>
      <c r="C31" s="84">
        <v>1</v>
      </c>
      <c r="D31" s="88">
        <f>323.9*3.142*0.001*2</f>
        <v>2.0353876</v>
      </c>
      <c r="E31" s="84">
        <v>2</v>
      </c>
      <c r="F31" s="88">
        <f>323.9*3.142*0.001*1</f>
        <v>1.0176938</v>
      </c>
      <c r="G31" s="84">
        <v>1</v>
      </c>
      <c r="H31" s="84">
        <v>1</v>
      </c>
      <c r="I31" s="84">
        <v>1</v>
      </c>
      <c r="J31" s="84">
        <v>1</v>
      </c>
      <c r="K31" s="84">
        <v>3</v>
      </c>
      <c r="L31" s="84">
        <v>2</v>
      </c>
      <c r="M31" s="84">
        <v>2</v>
      </c>
      <c r="N31" s="84">
        <v>2</v>
      </c>
      <c r="O31" s="84">
        <v>2</v>
      </c>
      <c r="P31" s="84"/>
      <c r="Q31" s="84">
        <v>1</v>
      </c>
      <c r="R31" s="84">
        <v>1</v>
      </c>
      <c r="S31" s="89"/>
      <c r="T31" s="89"/>
      <c r="U31" s="89"/>
      <c r="V31" s="89"/>
      <c r="W31" s="89"/>
      <c r="X31" s="89"/>
    </row>
    <row r="32" spans="1:24">
      <c r="A32" s="84" t="s">
        <v>838</v>
      </c>
      <c r="B32" s="84">
        <v>2</v>
      </c>
      <c r="C32" s="84">
        <v>1</v>
      </c>
      <c r="D32" s="88">
        <f>14*25.4*0.001*3.142*2</f>
        <v>2.2345903999999996</v>
      </c>
      <c r="E32" s="84">
        <v>2</v>
      </c>
      <c r="F32" s="88">
        <f>14*25.4*0.001*3.142*1</f>
        <v>1.1172951999999998</v>
      </c>
      <c r="G32" s="84">
        <v>1</v>
      </c>
      <c r="H32" s="84">
        <v>1</v>
      </c>
      <c r="I32" s="84">
        <v>1</v>
      </c>
      <c r="J32" s="84">
        <v>1</v>
      </c>
      <c r="K32" s="84">
        <v>4</v>
      </c>
      <c r="L32" s="84">
        <v>2</v>
      </c>
      <c r="M32" s="84">
        <v>2</v>
      </c>
      <c r="N32" s="84">
        <v>3</v>
      </c>
      <c r="O32" s="84">
        <v>3</v>
      </c>
      <c r="P32" s="84"/>
      <c r="Q32" s="84">
        <v>1</v>
      </c>
      <c r="R32" s="84">
        <v>2</v>
      </c>
      <c r="S32" s="89"/>
      <c r="T32" s="89"/>
      <c r="U32" s="89">
        <f>30*25.4</f>
        <v>762</v>
      </c>
      <c r="V32" s="89"/>
      <c r="W32" s="89"/>
      <c r="X32" s="89"/>
    </row>
    <row r="33" spans="1:24">
      <c r="A33" s="84" t="s">
        <v>695</v>
      </c>
      <c r="B33" s="84">
        <v>2</v>
      </c>
      <c r="C33" s="84">
        <v>1</v>
      </c>
      <c r="D33" s="88">
        <f>16*25.4*3.142*0.001*2</f>
        <v>2.5538175999999999</v>
      </c>
      <c r="E33" s="84">
        <v>2</v>
      </c>
      <c r="F33" s="88">
        <f>16*25.4*3.142*0.001*1</f>
        <v>1.2769088</v>
      </c>
      <c r="G33" s="84">
        <v>1</v>
      </c>
      <c r="H33" s="84">
        <v>1</v>
      </c>
      <c r="I33" s="84">
        <v>1</v>
      </c>
      <c r="J33" s="84">
        <v>1</v>
      </c>
      <c r="K33" s="84">
        <v>4</v>
      </c>
      <c r="L33" s="84">
        <v>2</v>
      </c>
      <c r="M33" s="84">
        <v>2</v>
      </c>
      <c r="N33" s="84">
        <v>3</v>
      </c>
      <c r="O33" s="84">
        <v>3</v>
      </c>
      <c r="P33" s="84"/>
      <c r="Q33" s="84">
        <v>1</v>
      </c>
      <c r="R33" s="84">
        <v>2</v>
      </c>
      <c r="S33" s="89"/>
      <c r="T33" s="89"/>
      <c r="U33" s="89"/>
      <c r="V33" s="89"/>
      <c r="W33" s="89"/>
      <c r="X33" s="89"/>
    </row>
    <row r="34" spans="1:24">
      <c r="A34" s="84" t="s">
        <v>839</v>
      </c>
      <c r="B34" s="84">
        <v>2</v>
      </c>
      <c r="C34" s="84">
        <v>1</v>
      </c>
      <c r="D34" s="88">
        <f>18*25.4*0.001*3.142*2</f>
        <v>2.8730447999999997</v>
      </c>
      <c r="E34" s="84">
        <v>2</v>
      </c>
      <c r="F34" s="88">
        <f>18*25.4*0.001*3.142*1</f>
        <v>1.4365223999999999</v>
      </c>
      <c r="G34" s="84">
        <v>1</v>
      </c>
      <c r="H34" s="84">
        <v>1</v>
      </c>
      <c r="I34" s="84">
        <v>1</v>
      </c>
      <c r="J34" s="84">
        <v>1</v>
      </c>
      <c r="K34" s="84">
        <v>4</v>
      </c>
      <c r="L34" s="84">
        <v>2</v>
      </c>
      <c r="M34" s="84">
        <v>2</v>
      </c>
      <c r="N34" s="84">
        <v>4</v>
      </c>
      <c r="O34" s="84">
        <v>4</v>
      </c>
      <c r="P34" s="84"/>
      <c r="Q34" s="84">
        <v>1</v>
      </c>
      <c r="R34" s="84">
        <v>2</v>
      </c>
      <c r="S34" s="89"/>
      <c r="T34" s="89"/>
      <c r="U34" s="89"/>
      <c r="V34" s="89"/>
      <c r="W34" s="89"/>
      <c r="X34" s="89"/>
    </row>
    <row r="35" spans="1:24">
      <c r="A35" s="84" t="s">
        <v>840</v>
      </c>
      <c r="B35" s="84">
        <v>2</v>
      </c>
      <c r="C35" s="84">
        <v>1</v>
      </c>
      <c r="D35" s="88">
        <f>20*25.4*0.001*3.142*2</f>
        <v>3.192272</v>
      </c>
      <c r="E35" s="84">
        <v>2</v>
      </c>
      <c r="F35" s="88">
        <f>20*25.4*0.001*3.142*1</f>
        <v>1.596136</v>
      </c>
      <c r="G35" s="84">
        <v>1</v>
      </c>
      <c r="H35" s="84">
        <v>1</v>
      </c>
      <c r="I35" s="84">
        <v>1</v>
      </c>
      <c r="J35" s="84">
        <v>1</v>
      </c>
      <c r="K35" s="84">
        <v>4</v>
      </c>
      <c r="L35" s="84">
        <v>2</v>
      </c>
      <c r="M35" s="84">
        <v>2</v>
      </c>
      <c r="N35" s="84">
        <v>4</v>
      </c>
      <c r="O35" s="84">
        <v>4</v>
      </c>
      <c r="P35" s="84"/>
      <c r="Q35" s="84">
        <v>1</v>
      </c>
      <c r="R35" s="84">
        <v>2</v>
      </c>
      <c r="S35" s="89"/>
      <c r="T35" s="89"/>
      <c r="U35" s="89"/>
      <c r="V35" s="89"/>
      <c r="W35" s="89"/>
      <c r="X35" s="89"/>
    </row>
    <row r="36" spans="1:24">
      <c r="A36" s="84" t="s">
        <v>841</v>
      </c>
      <c r="B36" s="84">
        <v>2</v>
      </c>
      <c r="C36" s="84">
        <v>1</v>
      </c>
      <c r="D36" s="88">
        <f>24*25.4*0.001*3.142*2</f>
        <v>3.8307263999999992</v>
      </c>
      <c r="E36" s="84">
        <v>2</v>
      </c>
      <c r="F36" s="88">
        <f>24*25.4*0.001*3.142*1</f>
        <v>1.9153631999999996</v>
      </c>
      <c r="G36" s="84">
        <v>1</v>
      </c>
      <c r="H36" s="84">
        <v>1</v>
      </c>
      <c r="I36" s="84">
        <v>1</v>
      </c>
      <c r="J36" s="84">
        <v>1</v>
      </c>
      <c r="K36" s="84">
        <v>4</v>
      </c>
      <c r="L36" s="84">
        <v>2</v>
      </c>
      <c r="M36" s="84">
        <v>2</v>
      </c>
      <c r="N36" s="84">
        <v>4</v>
      </c>
      <c r="O36" s="84">
        <v>4</v>
      </c>
      <c r="P36" s="84"/>
      <c r="Q36" s="84">
        <v>1</v>
      </c>
      <c r="R36" s="84">
        <v>2</v>
      </c>
      <c r="S36" s="89"/>
      <c r="T36" s="89"/>
      <c r="U36" s="89"/>
      <c r="V36" s="89"/>
      <c r="W36" s="89"/>
      <c r="X36" s="89"/>
    </row>
    <row r="37" spans="1:24">
      <c r="A37" s="84" t="s">
        <v>841</v>
      </c>
      <c r="B37" s="84">
        <v>2</v>
      </c>
      <c r="C37" s="84">
        <v>1</v>
      </c>
      <c r="D37" s="88">
        <f t="shared" ref="D37:D39" si="6">24*25.4*0.001*3.142*2</f>
        <v>3.8307263999999992</v>
      </c>
      <c r="E37" s="84">
        <v>2</v>
      </c>
      <c r="F37" s="88">
        <f t="shared" ref="F37:F40" si="7">24*25.4*0.001*3.142*1</f>
        <v>1.9153631999999996</v>
      </c>
      <c r="G37" s="84">
        <v>1</v>
      </c>
      <c r="H37" s="84">
        <v>1</v>
      </c>
      <c r="I37" s="84">
        <v>1</v>
      </c>
      <c r="J37" s="84">
        <v>1</v>
      </c>
      <c r="K37" s="84">
        <v>4</v>
      </c>
      <c r="L37" s="84">
        <v>2</v>
      </c>
      <c r="M37" s="84">
        <v>2</v>
      </c>
      <c r="N37" s="84">
        <v>4</v>
      </c>
      <c r="O37" s="84">
        <v>4</v>
      </c>
      <c r="P37" s="84"/>
      <c r="Q37" s="84">
        <v>1</v>
      </c>
      <c r="R37" s="84">
        <v>2</v>
      </c>
      <c r="S37" s="89"/>
      <c r="T37" s="89"/>
      <c r="U37" s="89"/>
      <c r="V37" s="89"/>
      <c r="W37" s="89"/>
      <c r="X37" s="89"/>
    </row>
    <row r="38" spans="1:24">
      <c r="A38" s="84" t="s">
        <v>841</v>
      </c>
      <c r="B38" s="84">
        <v>2</v>
      </c>
      <c r="C38" s="84">
        <v>1</v>
      </c>
      <c r="D38" s="88">
        <f t="shared" si="6"/>
        <v>3.8307263999999992</v>
      </c>
      <c r="E38" s="84">
        <v>2</v>
      </c>
      <c r="F38" s="88">
        <f t="shared" si="7"/>
        <v>1.9153631999999996</v>
      </c>
      <c r="G38" s="84">
        <v>1</v>
      </c>
      <c r="H38" s="84">
        <v>1</v>
      </c>
      <c r="I38" s="84">
        <v>1</v>
      </c>
      <c r="J38" s="84">
        <v>1</v>
      </c>
      <c r="K38" s="84">
        <v>4</v>
      </c>
      <c r="L38" s="84">
        <v>2</v>
      </c>
      <c r="M38" s="84">
        <v>2</v>
      </c>
      <c r="N38" s="84">
        <v>4</v>
      </c>
      <c r="O38" s="84">
        <v>4</v>
      </c>
      <c r="P38" s="84"/>
      <c r="Q38" s="84">
        <v>1</v>
      </c>
      <c r="R38" s="84">
        <v>2</v>
      </c>
      <c r="S38" s="89"/>
      <c r="T38" s="89"/>
      <c r="U38" s="89"/>
      <c r="V38" s="89"/>
      <c r="W38" s="89"/>
      <c r="X38" s="89"/>
    </row>
    <row r="39" spans="1:24">
      <c r="A39" s="84" t="s">
        <v>842</v>
      </c>
      <c r="B39" s="84">
        <v>2</v>
      </c>
      <c r="C39" s="84">
        <v>1</v>
      </c>
      <c r="D39" s="88">
        <f t="shared" si="6"/>
        <v>3.8307263999999992</v>
      </c>
      <c r="E39" s="84">
        <v>2</v>
      </c>
      <c r="F39" s="88">
        <f t="shared" si="7"/>
        <v>1.9153631999999996</v>
      </c>
      <c r="G39" s="84">
        <v>1</v>
      </c>
      <c r="H39" s="84">
        <v>1</v>
      </c>
      <c r="I39" s="84">
        <v>1</v>
      </c>
      <c r="J39" s="84">
        <v>1</v>
      </c>
      <c r="K39" s="84">
        <v>4</v>
      </c>
      <c r="L39" s="84">
        <v>2</v>
      </c>
      <c r="M39" s="84">
        <v>2</v>
      </c>
      <c r="N39" s="84">
        <v>4</v>
      </c>
      <c r="O39" s="84">
        <v>4</v>
      </c>
      <c r="P39" s="84"/>
      <c r="Q39" s="84">
        <v>1</v>
      </c>
      <c r="R39" s="84">
        <v>2</v>
      </c>
      <c r="S39" s="89"/>
      <c r="T39" s="89"/>
      <c r="U39" s="89"/>
      <c r="V39" s="89"/>
      <c r="W39" s="89"/>
      <c r="X39" s="89"/>
    </row>
    <row r="40" spans="1:24">
      <c r="A40" s="89" t="s">
        <v>843</v>
      </c>
      <c r="B40" s="84">
        <v>2</v>
      </c>
      <c r="C40" s="84">
        <v>1</v>
      </c>
      <c r="D40" s="88">
        <f>30*25.4*3.142*0.001*2</f>
        <v>4.7884079999999996</v>
      </c>
      <c r="E40" s="84">
        <v>2</v>
      </c>
      <c r="F40" s="88">
        <f t="shared" si="7"/>
        <v>1.9153631999999996</v>
      </c>
      <c r="G40" s="84">
        <v>1</v>
      </c>
      <c r="H40" s="84">
        <v>1</v>
      </c>
      <c r="I40" s="84">
        <v>1</v>
      </c>
      <c r="J40" s="84">
        <v>1</v>
      </c>
      <c r="K40" s="84">
        <v>4</v>
      </c>
      <c r="L40" s="84">
        <v>2</v>
      </c>
      <c r="M40" s="84">
        <v>2</v>
      </c>
      <c r="N40" s="84">
        <v>4</v>
      </c>
      <c r="O40" s="84">
        <v>4</v>
      </c>
      <c r="P40" s="84"/>
      <c r="Q40" s="84">
        <v>1</v>
      </c>
      <c r="R40" s="84">
        <v>2</v>
      </c>
      <c r="S40" s="89"/>
      <c r="T40" s="89"/>
      <c r="U40" s="89"/>
      <c r="V40" s="89"/>
      <c r="W40" s="89"/>
      <c r="X40" s="89"/>
    </row>
    <row r="41" spans="1:24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1:24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1:24">
      <c r="A43" s="259" t="s">
        <v>844</v>
      </c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89"/>
      <c r="V43" s="89"/>
      <c r="W43" s="89"/>
      <c r="X43" s="89"/>
    </row>
    <row r="44" spans="1:24">
      <c r="A44" s="86"/>
      <c r="B44" s="84">
        <v>2</v>
      </c>
      <c r="C44" s="84">
        <v>3</v>
      </c>
      <c r="D44" s="84">
        <v>4</v>
      </c>
      <c r="E44" s="84">
        <v>5</v>
      </c>
      <c r="F44" s="84">
        <v>6</v>
      </c>
      <c r="G44" s="84">
        <v>7</v>
      </c>
      <c r="H44" s="84">
        <v>8</v>
      </c>
      <c r="I44" s="84">
        <v>9</v>
      </c>
      <c r="J44" s="84">
        <v>10</v>
      </c>
      <c r="K44" s="84">
        <v>11</v>
      </c>
      <c r="L44" s="84">
        <v>12</v>
      </c>
      <c r="M44" s="84">
        <v>13</v>
      </c>
      <c r="N44" s="84">
        <v>14</v>
      </c>
      <c r="O44" s="84">
        <v>15</v>
      </c>
      <c r="P44" s="84">
        <v>16</v>
      </c>
      <c r="Q44" s="84">
        <v>17</v>
      </c>
      <c r="R44" s="84">
        <v>18</v>
      </c>
      <c r="S44" s="84">
        <v>20</v>
      </c>
      <c r="T44" s="84">
        <v>21</v>
      </c>
      <c r="U44" s="84">
        <v>22</v>
      </c>
      <c r="V44" s="84">
        <v>23</v>
      </c>
      <c r="W44" s="84">
        <v>24</v>
      </c>
      <c r="X44" s="84">
        <v>25</v>
      </c>
    </row>
    <row r="45" spans="1:24" s="82" customFormat="1" ht="72" customHeight="1">
      <c r="A45" s="87" t="s">
        <v>845</v>
      </c>
      <c r="B45" s="87" t="s">
        <v>846</v>
      </c>
      <c r="C45" s="87" t="s">
        <v>847</v>
      </c>
      <c r="D45" s="87" t="s">
        <v>848</v>
      </c>
      <c r="E45" s="87" t="s">
        <v>849</v>
      </c>
      <c r="F45" s="87" t="s">
        <v>850</v>
      </c>
      <c r="G45" s="87" t="s">
        <v>851</v>
      </c>
      <c r="H45" s="87" t="s">
        <v>852</v>
      </c>
      <c r="I45" s="87" t="s">
        <v>853</v>
      </c>
      <c r="J45" s="87" t="s">
        <v>854</v>
      </c>
      <c r="K45" s="87" t="s">
        <v>855</v>
      </c>
      <c r="L45" s="87" t="s">
        <v>856</v>
      </c>
      <c r="M45" s="87" t="s">
        <v>857</v>
      </c>
      <c r="N45" s="87" t="s">
        <v>858</v>
      </c>
      <c r="O45" s="87" t="s">
        <v>859</v>
      </c>
      <c r="P45" s="87" t="s">
        <v>860</v>
      </c>
      <c r="Q45" s="87" t="s">
        <v>861</v>
      </c>
      <c r="R45" s="87" t="s">
        <v>723</v>
      </c>
      <c r="S45" s="87" t="s">
        <v>862</v>
      </c>
      <c r="T45" s="87" t="s">
        <v>863</v>
      </c>
      <c r="U45" s="87" t="s">
        <v>864</v>
      </c>
      <c r="V45" s="87" t="s">
        <v>377</v>
      </c>
      <c r="W45" s="87"/>
      <c r="X45" s="87" t="s">
        <v>677</v>
      </c>
    </row>
    <row r="46" spans="1:24">
      <c r="A46" s="84">
        <v>250</v>
      </c>
      <c r="B46" s="84">
        <v>12</v>
      </c>
      <c r="C46" s="84">
        <v>4</v>
      </c>
      <c r="D46" s="84">
        <v>0.15</v>
      </c>
      <c r="E46" s="84">
        <v>0.5</v>
      </c>
      <c r="F46" s="90">
        <f>1/60*5</f>
        <v>8.3333333333333329E-2</v>
      </c>
      <c r="G46" s="84">
        <v>4</v>
      </c>
      <c r="H46" s="84">
        <v>2</v>
      </c>
      <c r="I46" s="84">
        <v>0.25</v>
      </c>
      <c r="J46" s="84">
        <v>0.25</v>
      </c>
      <c r="K46" s="84">
        <v>1</v>
      </c>
      <c r="L46" s="84">
        <v>16</v>
      </c>
      <c r="M46" s="84">
        <v>0.5</v>
      </c>
      <c r="N46" s="84">
        <f>1/60*10</f>
        <v>0.16666666666666666</v>
      </c>
      <c r="O46" s="84">
        <v>16</v>
      </c>
      <c r="P46" s="84">
        <v>16</v>
      </c>
      <c r="Q46" s="84">
        <v>16</v>
      </c>
      <c r="R46" s="84">
        <v>16</v>
      </c>
      <c r="S46" s="84">
        <f>1/60*1</f>
        <v>1.6666666666666666E-2</v>
      </c>
      <c r="T46" s="84">
        <f>1/60*3</f>
        <v>0.05</v>
      </c>
      <c r="U46" s="84">
        <f>1/60*5</f>
        <v>8.3333333333333329E-2</v>
      </c>
      <c r="V46" s="84">
        <v>8</v>
      </c>
      <c r="W46" s="84"/>
      <c r="X46" s="84">
        <v>12</v>
      </c>
    </row>
    <row r="47" spans="1:24">
      <c r="A47" s="84">
        <v>500</v>
      </c>
      <c r="B47" s="84">
        <v>12</v>
      </c>
      <c r="C47" s="84">
        <v>4</v>
      </c>
      <c r="D47" s="84">
        <v>0.15</v>
      </c>
      <c r="E47" s="84">
        <v>0.5</v>
      </c>
      <c r="F47" s="90">
        <f t="shared" ref="F47:F53" si="8">1/60*5</f>
        <v>8.3333333333333329E-2</v>
      </c>
      <c r="G47" s="84">
        <v>4</v>
      </c>
      <c r="H47" s="84">
        <v>2</v>
      </c>
      <c r="I47" s="84">
        <v>0.25</v>
      </c>
      <c r="J47" s="84">
        <v>0.25</v>
      </c>
      <c r="K47" s="84">
        <v>1</v>
      </c>
      <c r="L47" s="84">
        <v>16</v>
      </c>
      <c r="M47" s="84">
        <v>0.5</v>
      </c>
      <c r="N47" s="84">
        <f t="shared" ref="N47:N53" si="9">1/60*10</f>
        <v>0.16666666666666666</v>
      </c>
      <c r="O47" s="84">
        <v>16</v>
      </c>
      <c r="P47" s="84">
        <v>16</v>
      </c>
      <c r="Q47" s="84">
        <v>16</v>
      </c>
      <c r="R47" s="84">
        <v>16</v>
      </c>
      <c r="S47" s="84">
        <f t="shared" ref="S47:S53" si="10">1/60*1</f>
        <v>1.6666666666666666E-2</v>
      </c>
      <c r="T47" s="84">
        <f t="shared" ref="T47:T53" si="11">1/60*3</f>
        <v>0.05</v>
      </c>
      <c r="U47" s="84">
        <f t="shared" ref="U47:U53" si="12">1/60*5</f>
        <v>8.3333333333333329E-2</v>
      </c>
      <c r="V47" s="84">
        <v>8</v>
      </c>
      <c r="W47" s="84"/>
      <c r="X47" s="84">
        <v>12</v>
      </c>
    </row>
    <row r="48" spans="1:24">
      <c r="A48" s="84">
        <v>750</v>
      </c>
      <c r="B48" s="84">
        <v>12</v>
      </c>
      <c r="C48" s="84">
        <v>4</v>
      </c>
      <c r="D48" s="84">
        <v>0.15</v>
      </c>
      <c r="E48" s="84">
        <v>0.5</v>
      </c>
      <c r="F48" s="90">
        <f t="shared" si="8"/>
        <v>8.3333333333333329E-2</v>
      </c>
      <c r="G48" s="84">
        <v>4</v>
      </c>
      <c r="H48" s="84">
        <v>2</v>
      </c>
      <c r="I48" s="84">
        <v>0.25</v>
      </c>
      <c r="J48" s="84">
        <v>0.25</v>
      </c>
      <c r="K48" s="84">
        <v>1</v>
      </c>
      <c r="L48" s="84">
        <v>16</v>
      </c>
      <c r="M48" s="84">
        <v>0.5</v>
      </c>
      <c r="N48" s="84">
        <f t="shared" si="9"/>
        <v>0.16666666666666666</v>
      </c>
      <c r="O48" s="84">
        <v>16</v>
      </c>
      <c r="P48" s="84">
        <v>16</v>
      </c>
      <c r="Q48" s="84">
        <v>16</v>
      </c>
      <c r="R48" s="84">
        <v>16</v>
      </c>
      <c r="S48" s="84">
        <f t="shared" si="10"/>
        <v>1.6666666666666666E-2</v>
      </c>
      <c r="T48" s="84">
        <f t="shared" si="11"/>
        <v>0.05</v>
      </c>
      <c r="U48" s="84">
        <f t="shared" si="12"/>
        <v>8.3333333333333329E-2</v>
      </c>
      <c r="V48" s="84">
        <v>8</v>
      </c>
      <c r="W48" s="84"/>
      <c r="X48" s="84">
        <v>12</v>
      </c>
    </row>
    <row r="49" spans="1:24">
      <c r="A49" s="84">
        <v>1000</v>
      </c>
      <c r="B49" s="84">
        <v>12</v>
      </c>
      <c r="C49" s="84">
        <v>4</v>
      </c>
      <c r="D49" s="84">
        <v>0.15</v>
      </c>
      <c r="E49" s="84">
        <v>0.5</v>
      </c>
      <c r="F49" s="90">
        <f t="shared" si="8"/>
        <v>8.3333333333333329E-2</v>
      </c>
      <c r="G49" s="84">
        <v>4</v>
      </c>
      <c r="H49" s="84">
        <v>2</v>
      </c>
      <c r="I49" s="84">
        <v>0.25</v>
      </c>
      <c r="J49" s="84">
        <v>0.25</v>
      </c>
      <c r="K49" s="84">
        <v>1</v>
      </c>
      <c r="L49" s="84">
        <v>16</v>
      </c>
      <c r="M49" s="84">
        <v>0.5</v>
      </c>
      <c r="N49" s="84">
        <f t="shared" si="9"/>
        <v>0.16666666666666666</v>
      </c>
      <c r="O49" s="84">
        <v>16</v>
      </c>
      <c r="P49" s="84">
        <v>16</v>
      </c>
      <c r="Q49" s="84">
        <v>16</v>
      </c>
      <c r="R49" s="84">
        <v>16</v>
      </c>
      <c r="S49" s="84">
        <f t="shared" si="10"/>
        <v>1.6666666666666666E-2</v>
      </c>
      <c r="T49" s="84">
        <f t="shared" si="11"/>
        <v>0.05</v>
      </c>
      <c r="U49" s="84">
        <f t="shared" si="12"/>
        <v>8.3333333333333329E-2</v>
      </c>
      <c r="V49" s="84">
        <v>8</v>
      </c>
      <c r="W49" s="84"/>
      <c r="X49" s="84">
        <v>12</v>
      </c>
    </row>
    <row r="50" spans="1:24">
      <c r="A50" s="84">
        <v>1250</v>
      </c>
      <c r="B50" s="84">
        <v>12</v>
      </c>
      <c r="C50" s="84">
        <v>4</v>
      </c>
      <c r="D50" s="84">
        <v>0.15</v>
      </c>
      <c r="E50" s="84">
        <v>0.5</v>
      </c>
      <c r="F50" s="90">
        <f t="shared" si="8"/>
        <v>8.3333333333333329E-2</v>
      </c>
      <c r="G50" s="84">
        <v>4</v>
      </c>
      <c r="H50" s="84">
        <v>2</v>
      </c>
      <c r="I50" s="84">
        <v>0.25</v>
      </c>
      <c r="J50" s="84">
        <v>0.25</v>
      </c>
      <c r="K50" s="84">
        <v>1</v>
      </c>
      <c r="L50" s="84">
        <v>16</v>
      </c>
      <c r="M50" s="84">
        <v>0.5</v>
      </c>
      <c r="N50" s="84">
        <f t="shared" si="9"/>
        <v>0.16666666666666666</v>
      </c>
      <c r="O50" s="84">
        <v>16</v>
      </c>
      <c r="P50" s="84">
        <v>16</v>
      </c>
      <c r="Q50" s="84">
        <v>16</v>
      </c>
      <c r="R50" s="84">
        <v>16</v>
      </c>
      <c r="S50" s="84">
        <f t="shared" si="10"/>
        <v>1.6666666666666666E-2</v>
      </c>
      <c r="T50" s="84">
        <f t="shared" si="11"/>
        <v>0.05</v>
      </c>
      <c r="U50" s="84">
        <f t="shared" si="12"/>
        <v>8.3333333333333329E-2</v>
      </c>
      <c r="V50" s="84">
        <v>8</v>
      </c>
      <c r="W50" s="84"/>
      <c r="X50" s="84">
        <v>12</v>
      </c>
    </row>
    <row r="51" spans="1:24">
      <c r="A51" s="84">
        <v>1500</v>
      </c>
      <c r="B51" s="84">
        <v>12</v>
      </c>
      <c r="C51" s="84">
        <v>4</v>
      </c>
      <c r="D51" s="84">
        <v>0.15</v>
      </c>
      <c r="E51" s="84">
        <v>0.5</v>
      </c>
      <c r="F51" s="90">
        <f t="shared" si="8"/>
        <v>8.3333333333333329E-2</v>
      </c>
      <c r="G51" s="84">
        <v>4</v>
      </c>
      <c r="H51" s="84">
        <v>2</v>
      </c>
      <c r="I51" s="84">
        <v>0.25</v>
      </c>
      <c r="J51" s="84">
        <v>0.25</v>
      </c>
      <c r="K51" s="84">
        <v>1</v>
      </c>
      <c r="L51" s="84">
        <v>16</v>
      </c>
      <c r="M51" s="84">
        <v>0.5</v>
      </c>
      <c r="N51" s="84">
        <f t="shared" si="9"/>
        <v>0.16666666666666666</v>
      </c>
      <c r="O51" s="84">
        <v>16</v>
      </c>
      <c r="P51" s="84">
        <v>16</v>
      </c>
      <c r="Q51" s="84">
        <v>16</v>
      </c>
      <c r="R51" s="84">
        <v>16</v>
      </c>
      <c r="S51" s="84">
        <f t="shared" si="10"/>
        <v>1.6666666666666666E-2</v>
      </c>
      <c r="T51" s="84">
        <f t="shared" si="11"/>
        <v>0.05</v>
      </c>
      <c r="U51" s="84">
        <f t="shared" si="12"/>
        <v>8.3333333333333329E-2</v>
      </c>
      <c r="V51" s="84">
        <v>8</v>
      </c>
      <c r="W51" s="84"/>
      <c r="X51" s="84">
        <v>12</v>
      </c>
    </row>
    <row r="52" spans="1:24">
      <c r="A52" s="84">
        <v>1750</v>
      </c>
      <c r="B52" s="84">
        <v>12</v>
      </c>
      <c r="C52" s="84">
        <v>4</v>
      </c>
      <c r="D52" s="84">
        <v>0.15</v>
      </c>
      <c r="E52" s="84">
        <v>0.5</v>
      </c>
      <c r="F52" s="90">
        <f t="shared" si="8"/>
        <v>8.3333333333333329E-2</v>
      </c>
      <c r="G52" s="84">
        <v>4</v>
      </c>
      <c r="H52" s="84">
        <v>2</v>
      </c>
      <c r="I52" s="84">
        <v>0.25</v>
      </c>
      <c r="J52" s="84">
        <v>0.25</v>
      </c>
      <c r="K52" s="84">
        <v>1</v>
      </c>
      <c r="L52" s="84">
        <v>16</v>
      </c>
      <c r="M52" s="84">
        <v>0.5</v>
      </c>
      <c r="N52" s="84">
        <f t="shared" si="9"/>
        <v>0.16666666666666666</v>
      </c>
      <c r="O52" s="84">
        <v>16</v>
      </c>
      <c r="P52" s="84">
        <v>16</v>
      </c>
      <c r="Q52" s="84">
        <v>16</v>
      </c>
      <c r="R52" s="84">
        <v>16</v>
      </c>
      <c r="S52" s="84">
        <f t="shared" si="10"/>
        <v>1.6666666666666666E-2</v>
      </c>
      <c r="T52" s="84">
        <f t="shared" si="11"/>
        <v>0.05</v>
      </c>
      <c r="U52" s="84">
        <f t="shared" si="12"/>
        <v>8.3333333333333329E-2</v>
      </c>
      <c r="V52" s="84">
        <v>8</v>
      </c>
      <c r="W52" s="84"/>
      <c r="X52" s="84">
        <v>12</v>
      </c>
    </row>
    <row r="53" spans="1:24">
      <c r="A53" s="84">
        <v>2000</v>
      </c>
      <c r="B53" s="84">
        <v>12</v>
      </c>
      <c r="C53" s="84">
        <v>4</v>
      </c>
      <c r="D53" s="84">
        <v>0.15</v>
      </c>
      <c r="E53" s="84">
        <v>0.5</v>
      </c>
      <c r="F53" s="90">
        <f t="shared" si="8"/>
        <v>8.3333333333333329E-2</v>
      </c>
      <c r="G53" s="84">
        <v>4</v>
      </c>
      <c r="H53" s="84">
        <v>2</v>
      </c>
      <c r="I53" s="84">
        <v>0.25</v>
      </c>
      <c r="J53" s="84">
        <v>0.25</v>
      </c>
      <c r="K53" s="84">
        <v>1</v>
      </c>
      <c r="L53" s="84">
        <v>16</v>
      </c>
      <c r="M53" s="84">
        <v>0.5</v>
      </c>
      <c r="N53" s="84">
        <f t="shared" si="9"/>
        <v>0.16666666666666666</v>
      </c>
      <c r="O53" s="84">
        <v>16</v>
      </c>
      <c r="P53" s="84">
        <v>16</v>
      </c>
      <c r="Q53" s="84">
        <v>16</v>
      </c>
      <c r="R53" s="84">
        <v>16</v>
      </c>
      <c r="S53" s="84">
        <f t="shared" si="10"/>
        <v>1.6666666666666666E-2</v>
      </c>
      <c r="T53" s="84">
        <f t="shared" si="11"/>
        <v>0.05</v>
      </c>
      <c r="U53" s="84">
        <f t="shared" si="12"/>
        <v>8.3333333333333329E-2</v>
      </c>
      <c r="V53" s="84">
        <v>8</v>
      </c>
      <c r="W53" s="84"/>
      <c r="X53" s="84">
        <v>12</v>
      </c>
    </row>
    <row r="54" spans="1:24">
      <c r="A54" s="89"/>
      <c r="B54" s="260" t="s">
        <v>865</v>
      </c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</row>
    <row r="55" spans="1:24">
      <c r="A55" s="89"/>
      <c r="B55" s="91"/>
      <c r="C55" s="92">
        <v>2</v>
      </c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</row>
    <row r="56" spans="1:24">
      <c r="A56" s="89"/>
      <c r="B56" s="89">
        <v>500</v>
      </c>
      <c r="C56" s="93">
        <v>1</v>
      </c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1:24">
      <c r="A57" s="89"/>
      <c r="B57" s="89">
        <v>1000</v>
      </c>
      <c r="C57" s="93">
        <v>2</v>
      </c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1:24">
      <c r="A58" s="89"/>
      <c r="B58" s="89">
        <v>1250</v>
      </c>
      <c r="C58" s="93">
        <v>2.5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1:24">
      <c r="A59" s="89"/>
      <c r="B59" s="89">
        <v>1500</v>
      </c>
      <c r="C59" s="93">
        <v>3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1:24">
      <c r="A60" s="89"/>
      <c r="B60" s="89">
        <v>1750</v>
      </c>
      <c r="C60" s="93">
        <v>3.5</v>
      </c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1:24">
      <c r="A61" s="89"/>
      <c r="B61" s="89">
        <v>2000</v>
      </c>
      <c r="C61" s="93">
        <v>4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>
      <c r="A62" s="89"/>
      <c r="B62" s="89"/>
      <c r="C62" s="93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>
      <c r="A63" s="89"/>
      <c r="B63" s="89"/>
      <c r="C63" s="93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1:24">
      <c r="A64" s="89"/>
      <c r="B64" s="89"/>
      <c r="C64" s="93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1:24">
      <c r="A65" s="89"/>
      <c r="B65" s="89"/>
      <c r="C65" s="93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1:24">
      <c r="A66" s="89"/>
      <c r="B66" s="89"/>
      <c r="C66" s="93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1:24">
      <c r="A67" s="89"/>
      <c r="B67" s="89"/>
      <c r="C67" s="93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1:24">
      <c r="A68" s="89"/>
      <c r="B68" s="89"/>
      <c r="C68" s="93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1:24">
      <c r="A69" s="89"/>
      <c r="B69" s="89"/>
      <c r="C69" s="93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</row>
    <row r="70" spans="1:24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1:24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</row>
    <row r="72" spans="1:24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1:24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1:2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</row>
    <row r="75" spans="1:24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1:24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</row>
    <row r="77" spans="1:24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1:24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1:24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</row>
    <row r="80" spans="1:24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1:24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1:24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1:24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1:2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1:24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1:24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1:24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1:24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1:24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1:24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</row>
    <row r="91" spans="1:24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</row>
    <row r="92" spans="1:24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</row>
    <row r="93" spans="1:24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spans="1:2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</row>
    <row r="95" spans="1:24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</row>
    <row r="96" spans="1:24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</row>
    <row r="97" spans="1:24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</row>
    <row r="98" spans="1:24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</row>
    <row r="99" spans="1:24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</row>
    <row r="100" spans="1:24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</row>
    <row r="101" spans="1:24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</row>
    <row r="102" spans="1:24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</row>
    <row r="103" spans="1:24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</row>
    <row r="104" spans="1:2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</row>
    <row r="268" spans="3:3">
      <c r="C268" s="97"/>
    </row>
    <row r="270" spans="3:3">
      <c r="C270" s="97"/>
    </row>
    <row r="272" spans="3:3">
      <c r="C272" s="98"/>
    </row>
    <row r="273" spans="3:3">
      <c r="C273" s="98"/>
    </row>
    <row r="282" spans="3:3">
      <c r="C282" s="97"/>
    </row>
    <row r="284" spans="3:3">
      <c r="C284" s="97"/>
    </row>
    <row r="286" spans="3:3">
      <c r="C286" s="98"/>
    </row>
    <row r="287" spans="3:3">
      <c r="C287" s="98"/>
    </row>
  </sheetData>
  <mergeCells count="3">
    <mergeCell ref="A19:T19"/>
    <mergeCell ref="A43:T43"/>
    <mergeCell ref="B54:X54"/>
  </mergeCells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showGridLines="0" workbookViewId="0">
      <selection activeCell="J2" sqref="J2"/>
    </sheetView>
  </sheetViews>
  <sheetFormatPr defaultColWidth="9.1328125" defaultRowHeight="18.75" customHeight="1"/>
  <cols>
    <col min="1" max="1" width="32.59765625" style="35" customWidth="1"/>
    <col min="2" max="2" width="5.73046875" style="35" customWidth="1"/>
    <col min="3" max="3" width="5.86328125" style="36" customWidth="1"/>
    <col min="4" max="4" width="8.1328125" style="34" customWidth="1"/>
    <col min="5" max="5" width="9.59765625" style="34" customWidth="1"/>
    <col min="6" max="6" width="10.265625" style="34" customWidth="1"/>
    <col min="7" max="7" width="15.3984375" style="34" customWidth="1"/>
    <col min="8" max="8" width="9.3984375" style="34" customWidth="1"/>
    <col min="9" max="9" width="15.1328125" style="34" customWidth="1"/>
    <col min="10" max="10" width="16.73046875" style="34" customWidth="1"/>
    <col min="11" max="11" width="8.73046875" style="34" customWidth="1"/>
    <col min="12" max="12" width="6.59765625" style="34" customWidth="1"/>
    <col min="13" max="13" width="12.86328125" style="34" customWidth="1"/>
    <col min="14" max="14" width="13.59765625" style="34" customWidth="1"/>
    <col min="15" max="16384" width="9.1328125" style="34"/>
  </cols>
  <sheetData>
    <row r="1" spans="1:14" s="33" customFormat="1" ht="21" customHeight="1">
      <c r="A1" s="37" t="s">
        <v>866</v>
      </c>
      <c r="B1" s="38" t="s">
        <v>867</v>
      </c>
      <c r="C1" s="38"/>
      <c r="D1" s="39" t="s">
        <v>2</v>
      </c>
      <c r="E1" s="39" t="s">
        <v>868</v>
      </c>
      <c r="F1" s="39" t="s">
        <v>869</v>
      </c>
      <c r="G1" s="39" t="s">
        <v>4</v>
      </c>
      <c r="H1" s="39" t="s">
        <v>870</v>
      </c>
      <c r="I1" s="39" t="s">
        <v>5</v>
      </c>
      <c r="J1" s="39" t="s">
        <v>871</v>
      </c>
      <c r="K1" s="39"/>
      <c r="L1" s="39" t="s">
        <v>870</v>
      </c>
      <c r="M1" s="39" t="s">
        <v>872</v>
      </c>
      <c r="N1" s="39" t="s">
        <v>873</v>
      </c>
    </row>
    <row r="2" spans="1:14" ht="18.75" customHeight="1">
      <c r="A2" s="40" t="s">
        <v>874</v>
      </c>
      <c r="B2" s="40" t="s">
        <v>875</v>
      </c>
      <c r="C2" s="41"/>
      <c r="D2" s="42">
        <v>18</v>
      </c>
      <c r="E2" s="42">
        <v>2500</v>
      </c>
      <c r="F2" s="42">
        <v>5000</v>
      </c>
      <c r="G2" s="42">
        <v>2</v>
      </c>
      <c r="H2" s="45">
        <f>(E2*2*0.001+F2*2*0.001)*G2</f>
        <v>30</v>
      </c>
      <c r="I2" s="45" t="s">
        <v>876</v>
      </c>
      <c r="J2" s="46">
        <f>VLOOKUP(D2,BM!$A$2:$X$57,2,FALSE)</f>
        <v>0.1</v>
      </c>
      <c r="K2" s="46"/>
      <c r="L2" s="46">
        <f>H2*J2</f>
        <v>3</v>
      </c>
      <c r="M2" s="46">
        <v>1</v>
      </c>
      <c r="N2" s="46">
        <f>L2+M2</f>
        <v>4</v>
      </c>
    </row>
    <row r="3" spans="1:14" ht="18.75" customHeight="1">
      <c r="A3" s="40" t="s">
        <v>874</v>
      </c>
      <c r="B3" s="40" t="s">
        <v>875</v>
      </c>
      <c r="C3" s="41"/>
      <c r="D3" s="42">
        <v>18</v>
      </c>
      <c r="E3" s="42">
        <v>2000</v>
      </c>
      <c r="F3" s="42">
        <v>5000</v>
      </c>
      <c r="G3" s="42">
        <v>1</v>
      </c>
      <c r="H3" s="45">
        <f>(E3*2*0.001+F3*2*0.001)*G3</f>
        <v>14</v>
      </c>
      <c r="I3" s="45" t="s">
        <v>876</v>
      </c>
      <c r="J3" s="46">
        <f>VLOOKUP(D3,BM!$A$2:$X$57,2,FALSE)</f>
        <v>0.1</v>
      </c>
      <c r="K3" s="46"/>
      <c r="L3" s="46">
        <f>H3*J3</f>
        <v>1.4000000000000001</v>
      </c>
      <c r="M3" s="46">
        <v>1</v>
      </c>
      <c r="N3" s="46">
        <f>L3+M3</f>
        <v>2.4000000000000004</v>
      </c>
    </row>
    <row r="4" spans="1:14" ht="18.75" customHeight="1">
      <c r="A4" s="40" t="s">
        <v>874</v>
      </c>
      <c r="B4" s="40" t="s">
        <v>875</v>
      </c>
      <c r="C4" s="41"/>
      <c r="D4" s="42">
        <v>18</v>
      </c>
      <c r="E4" s="42">
        <v>1250</v>
      </c>
      <c r="F4" s="42">
        <v>5000</v>
      </c>
      <c r="G4" s="42">
        <v>1</v>
      </c>
      <c r="H4" s="45">
        <f>(E4*2*0.001+F4*2*0.001)*G4</f>
        <v>12.5</v>
      </c>
      <c r="I4" s="45" t="s">
        <v>876</v>
      </c>
      <c r="J4" s="46">
        <f>VLOOKUP(D4,BM!$A$2:$X$57,2,FALSE)</f>
        <v>0.1</v>
      </c>
      <c r="K4" s="46"/>
      <c r="L4" s="46">
        <f>H4*J4</f>
        <v>1.25</v>
      </c>
      <c r="M4" s="46">
        <v>1</v>
      </c>
      <c r="N4" s="46">
        <f>L4+M4</f>
        <v>2.25</v>
      </c>
    </row>
    <row r="5" spans="1:14" ht="18.75" customHeight="1">
      <c r="A5" s="35" t="s">
        <v>877</v>
      </c>
      <c r="B5" s="34"/>
      <c r="C5" s="43"/>
    </row>
    <row r="6" spans="1:14" ht="18.75" customHeight="1">
      <c r="A6" s="40" t="s">
        <v>878</v>
      </c>
      <c r="B6" s="40" t="s">
        <v>875</v>
      </c>
      <c r="C6" s="41"/>
      <c r="D6" s="42">
        <v>18</v>
      </c>
      <c r="E6" s="42">
        <v>2500</v>
      </c>
      <c r="F6" s="42">
        <v>5000</v>
      </c>
      <c r="G6" s="42">
        <v>2</v>
      </c>
      <c r="H6" s="45">
        <f>(E6*2*0.001+F6*2*0.001)*G6</f>
        <v>30</v>
      </c>
      <c r="I6" s="45" t="s">
        <v>876</v>
      </c>
      <c r="J6" s="46">
        <f>VLOOKUP(D6,BM!$A$2:$X$57,3,FALSE)</f>
        <v>0.25</v>
      </c>
      <c r="K6" s="46"/>
      <c r="L6" s="46">
        <f>H6*J6</f>
        <v>7.5</v>
      </c>
      <c r="M6" s="46">
        <v>1</v>
      </c>
      <c r="N6" s="46">
        <f>L6+M6</f>
        <v>8.5</v>
      </c>
    </row>
    <row r="7" spans="1:14" ht="18.75" customHeight="1">
      <c r="A7" s="40" t="s">
        <v>878</v>
      </c>
      <c r="B7" s="40" t="s">
        <v>875</v>
      </c>
      <c r="C7" s="41"/>
      <c r="D7" s="42">
        <v>18</v>
      </c>
      <c r="E7" s="42">
        <v>2000</v>
      </c>
      <c r="F7" s="42">
        <v>5000</v>
      </c>
      <c r="G7" s="42">
        <v>1</v>
      </c>
      <c r="H7" s="45">
        <f>(E7*2*0.001+F7*2*0.001)*G7</f>
        <v>14</v>
      </c>
      <c r="I7" s="45" t="s">
        <v>876</v>
      </c>
      <c r="J7" s="46">
        <f>VLOOKUP(D7,BM!$A$2:$X$57,3,FALSE)</f>
        <v>0.25</v>
      </c>
      <c r="K7" s="46"/>
      <c r="L7" s="46">
        <f>H7*J7</f>
        <v>3.5</v>
      </c>
      <c r="M7" s="46">
        <v>1</v>
      </c>
      <c r="N7" s="46">
        <f>L7+M7</f>
        <v>4.5</v>
      </c>
    </row>
    <row r="8" spans="1:14" ht="18.75" customHeight="1">
      <c r="A8" s="40" t="s">
        <v>878</v>
      </c>
      <c r="B8" s="40" t="s">
        <v>875</v>
      </c>
      <c r="C8" s="41"/>
      <c r="D8" s="42">
        <v>18</v>
      </c>
      <c r="E8" s="42">
        <v>1250</v>
      </c>
      <c r="F8" s="42">
        <v>5000</v>
      </c>
      <c r="G8" s="42">
        <v>1</v>
      </c>
      <c r="H8" s="45">
        <f>(E8*2*0.001+F8*2*0.001)*G8</f>
        <v>12.5</v>
      </c>
      <c r="I8" s="45" t="s">
        <v>876</v>
      </c>
      <c r="J8" s="46">
        <f>VLOOKUP(D8,BM!$A$2:$X$57,3,FALSE)</f>
        <v>0.25</v>
      </c>
      <c r="K8" s="46"/>
      <c r="L8" s="46">
        <f>H8*J8</f>
        <v>3.125</v>
      </c>
      <c r="M8" s="46">
        <v>1</v>
      </c>
      <c r="N8" s="46">
        <f>L8+M8</f>
        <v>4.125</v>
      </c>
    </row>
    <row r="9" spans="1:14" ht="18.75" customHeight="1">
      <c r="H9" s="47"/>
      <c r="I9" s="47"/>
      <c r="J9" s="48"/>
      <c r="K9" s="48"/>
      <c r="L9" s="48"/>
      <c r="M9" s="48"/>
      <c r="N9" s="48"/>
    </row>
    <row r="10" spans="1:14" ht="18.75" customHeight="1">
      <c r="A10" s="40" t="s">
        <v>879</v>
      </c>
      <c r="B10" s="40" t="s">
        <v>875</v>
      </c>
      <c r="C10" s="41"/>
      <c r="D10" s="42">
        <v>18</v>
      </c>
      <c r="E10" s="42">
        <v>2500</v>
      </c>
      <c r="F10" s="42">
        <v>5000</v>
      </c>
      <c r="G10" s="42">
        <v>2</v>
      </c>
      <c r="H10" s="45">
        <f>(E10*2*0.001+F10*2*0.001)*G10</f>
        <v>30</v>
      </c>
      <c r="I10" s="45" t="s">
        <v>876</v>
      </c>
      <c r="J10" s="46">
        <f>VLOOKUP(D10,BM!$A$2:$X$57,4,FALSE)</f>
        <v>0.15</v>
      </c>
      <c r="K10" s="46"/>
      <c r="L10" s="46">
        <f>H10*J10</f>
        <v>4.5</v>
      </c>
      <c r="M10" s="46">
        <v>1</v>
      </c>
      <c r="N10" s="46">
        <f>L10+M10</f>
        <v>5.5</v>
      </c>
    </row>
    <row r="11" spans="1:14" ht="18.75" customHeight="1">
      <c r="A11" s="40" t="s">
        <v>879</v>
      </c>
      <c r="B11" s="40" t="s">
        <v>875</v>
      </c>
      <c r="C11" s="41"/>
      <c r="D11" s="42">
        <v>18</v>
      </c>
      <c r="E11" s="42">
        <v>2000</v>
      </c>
      <c r="F11" s="42">
        <v>5000</v>
      </c>
      <c r="G11" s="42">
        <v>1</v>
      </c>
      <c r="H11" s="45">
        <f>(E11*2*0.001+F11*2*0.001)*G11</f>
        <v>14</v>
      </c>
      <c r="I11" s="45" t="s">
        <v>876</v>
      </c>
      <c r="J11" s="46">
        <f>VLOOKUP(D11,BM!$A$2:$X$57,4,FALSE)</f>
        <v>0.15</v>
      </c>
      <c r="K11" s="46"/>
      <c r="L11" s="46">
        <f>H11*J11</f>
        <v>2.1</v>
      </c>
      <c r="M11" s="46">
        <v>1</v>
      </c>
      <c r="N11" s="46">
        <f>L11+M11</f>
        <v>3.1</v>
      </c>
    </row>
    <row r="12" spans="1:14" ht="18.75" customHeight="1">
      <c r="A12" s="40" t="s">
        <v>879</v>
      </c>
      <c r="B12" s="40" t="s">
        <v>875</v>
      </c>
      <c r="C12" s="41"/>
      <c r="D12" s="42">
        <v>18</v>
      </c>
      <c r="E12" s="42">
        <v>1250</v>
      </c>
      <c r="F12" s="42">
        <v>5000</v>
      </c>
      <c r="G12" s="42">
        <v>1</v>
      </c>
      <c r="H12" s="45">
        <f>(E12*2*0.001+F12*2*0.001)*G12</f>
        <v>12.5</v>
      </c>
      <c r="I12" s="45" t="s">
        <v>876</v>
      </c>
      <c r="J12" s="46">
        <f>VLOOKUP(D12,BM!$A$2:$X$57,4,FALSE)</f>
        <v>0.15</v>
      </c>
      <c r="K12" s="46"/>
      <c r="L12" s="46">
        <f>H12*J12</f>
        <v>1.875</v>
      </c>
      <c r="M12" s="46">
        <v>1</v>
      </c>
      <c r="N12" s="46">
        <f>L12+M12</f>
        <v>2.875</v>
      </c>
    </row>
    <row r="13" spans="1:14" ht="18.75" customHeight="1">
      <c r="H13" s="47"/>
      <c r="I13" s="47"/>
      <c r="J13" s="48"/>
      <c r="K13" s="48"/>
      <c r="L13" s="48"/>
      <c r="M13" s="48"/>
      <c r="N13" s="48"/>
    </row>
    <row r="14" spans="1:14" ht="18.75" customHeight="1">
      <c r="A14" s="40" t="s">
        <v>880</v>
      </c>
      <c r="B14" s="40" t="s">
        <v>875</v>
      </c>
      <c r="C14" s="41"/>
      <c r="D14" s="42">
        <v>18</v>
      </c>
      <c r="E14" s="42">
        <v>2500</v>
      </c>
      <c r="F14" s="42">
        <v>5000</v>
      </c>
      <c r="G14" s="42">
        <v>2</v>
      </c>
      <c r="H14" s="45">
        <f>(F14*2*0.001)*G14</f>
        <v>20</v>
      </c>
      <c r="I14" s="45" t="s">
        <v>876</v>
      </c>
      <c r="J14" s="46">
        <f>VLOOKUP(D14,BM!$A$2:$X$57,5,FALSE)</f>
        <v>0.5</v>
      </c>
      <c r="K14" s="46"/>
      <c r="L14" s="46">
        <f>H14*J14</f>
        <v>10</v>
      </c>
      <c r="M14" s="46">
        <v>1</v>
      </c>
      <c r="N14" s="46">
        <f>L14+M14</f>
        <v>11</v>
      </c>
    </row>
    <row r="15" spans="1:14" ht="18.75" customHeight="1">
      <c r="A15" s="40" t="s">
        <v>880</v>
      </c>
      <c r="B15" s="40" t="s">
        <v>875</v>
      </c>
      <c r="C15" s="41"/>
      <c r="D15" s="42">
        <v>18</v>
      </c>
      <c r="E15" s="42">
        <v>2000</v>
      </c>
      <c r="F15" s="42">
        <v>5000</v>
      </c>
      <c r="G15" s="42">
        <v>1</v>
      </c>
      <c r="H15" s="45">
        <f>(F15*2*0.001)*G15</f>
        <v>10</v>
      </c>
      <c r="I15" s="45" t="s">
        <v>876</v>
      </c>
      <c r="J15" s="46">
        <f>VLOOKUP(D15,BM!$A$2:$X$57,5,FALSE)</f>
        <v>0.5</v>
      </c>
      <c r="K15" s="46"/>
      <c r="L15" s="46">
        <f>H15*J15</f>
        <v>5</v>
      </c>
      <c r="M15" s="46">
        <v>1</v>
      </c>
      <c r="N15" s="46">
        <f>L15+M15</f>
        <v>6</v>
      </c>
    </row>
    <row r="16" spans="1:14" ht="18.75" customHeight="1">
      <c r="A16" s="40" t="s">
        <v>880</v>
      </c>
      <c r="B16" s="40" t="s">
        <v>875</v>
      </c>
      <c r="C16" s="41"/>
      <c r="D16" s="42">
        <v>18</v>
      </c>
      <c r="E16" s="42">
        <v>1000</v>
      </c>
      <c r="F16" s="42">
        <v>5000</v>
      </c>
      <c r="G16" s="42">
        <v>1</v>
      </c>
      <c r="H16" s="45">
        <f>(F16*2*0.001)*G16</f>
        <v>10</v>
      </c>
      <c r="I16" s="45" t="s">
        <v>876</v>
      </c>
      <c r="J16" s="46">
        <f>VLOOKUP(D16,BM!$A$2:$X$57,5,FALSE)</f>
        <v>0.5</v>
      </c>
      <c r="K16" s="46"/>
      <c r="L16" s="46">
        <f>H16*J16</f>
        <v>5</v>
      </c>
      <c r="M16" s="46">
        <v>1</v>
      </c>
      <c r="N16" s="46">
        <f>L16+M16</f>
        <v>6</v>
      </c>
    </row>
    <row r="17" spans="1:14" ht="18.75" customHeight="1">
      <c r="H17" s="47"/>
      <c r="I17" s="47"/>
      <c r="J17" s="48"/>
      <c r="K17" s="48"/>
      <c r="L17" s="48"/>
      <c r="M17" s="48"/>
      <c r="N17" s="48"/>
    </row>
    <row r="18" spans="1:14" ht="18.75" customHeight="1">
      <c r="A18" s="40" t="s">
        <v>881</v>
      </c>
      <c r="B18" s="40" t="s">
        <v>875</v>
      </c>
      <c r="C18" s="41"/>
      <c r="D18" s="42">
        <v>18</v>
      </c>
      <c r="E18" s="42">
        <v>2500</v>
      </c>
      <c r="F18" s="42">
        <v>5000</v>
      </c>
      <c r="G18" s="42">
        <v>2</v>
      </c>
      <c r="H18" s="45">
        <f>(F18*2*0.001)*G18</f>
        <v>20</v>
      </c>
      <c r="I18" s="45" t="s">
        <v>876</v>
      </c>
      <c r="J18" s="46">
        <f>VLOOKUP(D18,BM!$A$2:$X$57,6,FALSE)</f>
        <v>1</v>
      </c>
      <c r="K18" s="46"/>
      <c r="L18" s="46">
        <f>H18*J18</f>
        <v>20</v>
      </c>
      <c r="M18" s="46">
        <v>1</v>
      </c>
      <c r="N18" s="46">
        <f>L18+M18</f>
        <v>21</v>
      </c>
    </row>
    <row r="19" spans="1:14" ht="18.75" customHeight="1">
      <c r="A19" s="40" t="s">
        <v>881</v>
      </c>
      <c r="B19" s="40" t="s">
        <v>875</v>
      </c>
      <c r="C19" s="41"/>
      <c r="D19" s="42">
        <v>18</v>
      </c>
      <c r="E19" s="42">
        <v>2000</v>
      </c>
      <c r="F19" s="42">
        <v>5000</v>
      </c>
      <c r="G19" s="42">
        <v>1</v>
      </c>
      <c r="H19" s="45">
        <f>(F19*2*0.001)*G19</f>
        <v>10</v>
      </c>
      <c r="I19" s="45" t="s">
        <v>876</v>
      </c>
      <c r="J19" s="46">
        <f>VLOOKUP(D19,BM!$A$2:$X$57,6,FALSE)</f>
        <v>1</v>
      </c>
      <c r="K19" s="46"/>
      <c r="L19" s="46">
        <f>H19*J19</f>
        <v>10</v>
      </c>
      <c r="M19" s="46">
        <v>1</v>
      </c>
      <c r="N19" s="46">
        <f>L19+M19</f>
        <v>11</v>
      </c>
    </row>
    <row r="20" spans="1:14" ht="18.75" customHeight="1">
      <c r="A20" s="40" t="s">
        <v>881</v>
      </c>
      <c r="B20" s="40" t="s">
        <v>875</v>
      </c>
      <c r="C20" s="41"/>
      <c r="D20" s="42">
        <v>18</v>
      </c>
      <c r="E20" s="42">
        <v>1250</v>
      </c>
      <c r="F20" s="42">
        <v>5000</v>
      </c>
      <c r="G20" s="42">
        <v>1</v>
      </c>
      <c r="H20" s="45">
        <f>(F20*2*0.001)*G20</f>
        <v>10</v>
      </c>
      <c r="I20" s="45" t="s">
        <v>876</v>
      </c>
      <c r="J20" s="46">
        <f>VLOOKUP(D20,BM!$A$2:$X$57,6,FALSE)</f>
        <v>1</v>
      </c>
      <c r="K20" s="46"/>
      <c r="L20" s="46">
        <f>H20*J20</f>
        <v>10</v>
      </c>
      <c r="M20" s="46">
        <v>1</v>
      </c>
      <c r="N20" s="46">
        <f>L20+M20</f>
        <v>11</v>
      </c>
    </row>
    <row r="21" spans="1:14" ht="18.75" customHeight="1">
      <c r="H21" s="47"/>
      <c r="I21" s="47"/>
      <c r="J21" s="48"/>
      <c r="K21" s="48"/>
      <c r="L21" s="48"/>
      <c r="M21" s="48"/>
      <c r="N21" s="48"/>
    </row>
    <row r="22" spans="1:14" ht="18.75" customHeight="1">
      <c r="A22" s="40" t="s">
        <v>882</v>
      </c>
      <c r="B22" s="40" t="s">
        <v>875</v>
      </c>
      <c r="C22" s="41"/>
      <c r="D22" s="42">
        <v>18</v>
      </c>
      <c r="E22" s="42">
        <v>2500</v>
      </c>
      <c r="F22" s="42">
        <v>5000</v>
      </c>
      <c r="G22" s="42">
        <v>1</v>
      </c>
      <c r="H22" s="45">
        <v>1</v>
      </c>
      <c r="I22" s="45" t="s">
        <v>39</v>
      </c>
      <c r="J22" s="46">
        <f>VLOOKUP(D22,BM!$A$2:$X$57,7,FALSE)</f>
        <v>2</v>
      </c>
      <c r="K22" s="46"/>
      <c r="L22" s="46">
        <f>H22*J22</f>
        <v>2</v>
      </c>
      <c r="M22" s="46">
        <v>1</v>
      </c>
      <c r="N22" s="46">
        <f>L22+M22</f>
        <v>3</v>
      </c>
    </row>
    <row r="23" spans="1:14" ht="18.75" customHeight="1">
      <c r="A23" s="40" t="s">
        <v>882</v>
      </c>
      <c r="B23" s="40" t="s">
        <v>875</v>
      </c>
      <c r="C23" s="41"/>
      <c r="D23" s="42">
        <v>18</v>
      </c>
      <c r="E23" s="42">
        <v>2500</v>
      </c>
      <c r="F23" s="42">
        <v>5000</v>
      </c>
      <c r="G23" s="42">
        <v>1</v>
      </c>
      <c r="H23" s="45">
        <v>1</v>
      </c>
      <c r="I23" s="45" t="s">
        <v>39</v>
      </c>
      <c r="J23" s="46">
        <f>VLOOKUP(D23,BM!$A$2:$X$57,7,FALSE)</f>
        <v>2</v>
      </c>
      <c r="K23" s="46"/>
      <c r="L23" s="46">
        <f>H23*J23</f>
        <v>2</v>
      </c>
      <c r="M23" s="46">
        <v>1</v>
      </c>
      <c r="N23" s="46">
        <f>L23+M23</f>
        <v>3</v>
      </c>
    </row>
    <row r="24" spans="1:14" ht="18.75" customHeight="1">
      <c r="A24" s="40" t="s">
        <v>882</v>
      </c>
      <c r="B24" s="40" t="s">
        <v>875</v>
      </c>
      <c r="C24" s="41"/>
      <c r="D24" s="42">
        <v>18</v>
      </c>
      <c r="E24" s="42">
        <v>2000</v>
      </c>
      <c r="F24" s="42">
        <v>5000</v>
      </c>
      <c r="G24" s="42">
        <v>1</v>
      </c>
      <c r="H24" s="45">
        <v>1</v>
      </c>
      <c r="I24" s="45" t="s">
        <v>564</v>
      </c>
      <c r="J24" s="46">
        <f>VLOOKUP(D24,BM!$A$2:$X$57,7,FALSE)</f>
        <v>2</v>
      </c>
      <c r="K24" s="46"/>
      <c r="L24" s="46">
        <f>H24*J24</f>
        <v>2</v>
      </c>
      <c r="M24" s="46">
        <v>1</v>
      </c>
      <c r="N24" s="46">
        <f>L24+M24</f>
        <v>3</v>
      </c>
    </row>
    <row r="25" spans="1:14" ht="18.75" customHeight="1">
      <c r="A25" s="40" t="s">
        <v>882</v>
      </c>
      <c r="B25" s="40" t="s">
        <v>875</v>
      </c>
      <c r="C25" s="41"/>
      <c r="D25" s="42">
        <v>18</v>
      </c>
      <c r="E25" s="42">
        <v>1250</v>
      </c>
      <c r="F25" s="42">
        <v>5000</v>
      </c>
      <c r="G25" s="42">
        <v>1</v>
      </c>
      <c r="H25" s="45">
        <v>1</v>
      </c>
      <c r="I25" s="45" t="s">
        <v>564</v>
      </c>
      <c r="J25" s="46">
        <f>VLOOKUP(D25,BM!$A$2:$X$57,7,FALSE)</f>
        <v>2</v>
      </c>
      <c r="K25" s="46"/>
      <c r="L25" s="46">
        <f>H25*J25</f>
        <v>2</v>
      </c>
      <c r="M25" s="46">
        <v>1</v>
      </c>
      <c r="N25" s="46">
        <f>L25+M25</f>
        <v>3</v>
      </c>
    </row>
    <row r="26" spans="1:14" ht="18.75" customHeight="1">
      <c r="H26" s="47"/>
      <c r="I26" s="47"/>
      <c r="J26" s="48"/>
      <c r="K26" s="48"/>
      <c r="L26" s="48"/>
      <c r="M26" s="48"/>
      <c r="N26" s="48"/>
    </row>
    <row r="27" spans="1:14" ht="18.75" customHeight="1">
      <c r="A27" s="40" t="s">
        <v>883</v>
      </c>
      <c r="B27" s="40" t="s">
        <v>875</v>
      </c>
      <c r="C27" s="41"/>
      <c r="D27" s="42">
        <v>18</v>
      </c>
      <c r="E27" s="42">
        <v>2500</v>
      </c>
      <c r="F27" s="42">
        <v>5000</v>
      </c>
      <c r="G27" s="42">
        <v>1</v>
      </c>
      <c r="H27" s="45">
        <f>E27*0.001*2</f>
        <v>5</v>
      </c>
      <c r="I27" s="45" t="s">
        <v>876</v>
      </c>
      <c r="J27" s="46">
        <f>VLOOKUP(D27,BM!$A$2:$X$57,8,FALSE)</f>
        <v>0.3</v>
      </c>
      <c r="K27" s="46"/>
      <c r="L27" s="46">
        <f>H27*J27</f>
        <v>1.5</v>
      </c>
      <c r="M27" s="46">
        <v>1</v>
      </c>
      <c r="N27" s="46">
        <f>L27+M27</f>
        <v>2.5</v>
      </c>
    </row>
    <row r="28" spans="1:14" ht="18.75" customHeight="1">
      <c r="A28" s="40" t="s">
        <v>883</v>
      </c>
      <c r="B28" s="40" t="s">
        <v>875</v>
      </c>
      <c r="C28" s="41"/>
      <c r="D28" s="42">
        <v>18</v>
      </c>
      <c r="E28" s="42">
        <v>2500</v>
      </c>
      <c r="F28" s="42">
        <v>5000</v>
      </c>
      <c r="G28" s="42">
        <v>1</v>
      </c>
      <c r="H28" s="45">
        <f>E28*0.001*2</f>
        <v>5</v>
      </c>
      <c r="I28" s="45" t="s">
        <v>876</v>
      </c>
      <c r="J28" s="46">
        <f>VLOOKUP(D28,BM!$A$2:$X$57,8,FALSE)</f>
        <v>0.3</v>
      </c>
      <c r="K28" s="46"/>
      <c r="L28" s="46">
        <f>H28*J28</f>
        <v>1.5</v>
      </c>
      <c r="M28" s="46">
        <v>1</v>
      </c>
      <c r="N28" s="46">
        <f>L28+M28</f>
        <v>2.5</v>
      </c>
    </row>
    <row r="29" spans="1:14" ht="18.75" customHeight="1">
      <c r="A29" s="40" t="s">
        <v>883</v>
      </c>
      <c r="B29" s="40" t="s">
        <v>875</v>
      </c>
      <c r="C29" s="41"/>
      <c r="D29" s="42">
        <v>18</v>
      </c>
      <c r="E29" s="42">
        <v>2000</v>
      </c>
      <c r="F29" s="42">
        <v>5000</v>
      </c>
      <c r="G29" s="42">
        <v>1</v>
      </c>
      <c r="H29" s="45">
        <f>E29*0.001*2</f>
        <v>4</v>
      </c>
      <c r="I29" s="45" t="s">
        <v>876</v>
      </c>
      <c r="J29" s="46">
        <f>VLOOKUP(D29,BM!$A$2:$X$57,8,FALSE)</f>
        <v>0.3</v>
      </c>
      <c r="K29" s="46"/>
      <c r="L29" s="46">
        <f>H29*J29</f>
        <v>1.2</v>
      </c>
      <c r="M29" s="46">
        <v>1</v>
      </c>
      <c r="N29" s="46">
        <f>L29+M29</f>
        <v>2.2000000000000002</v>
      </c>
    </row>
    <row r="30" spans="1:14" ht="18.75" customHeight="1">
      <c r="A30" s="40" t="s">
        <v>883</v>
      </c>
      <c r="B30" s="40" t="s">
        <v>875</v>
      </c>
      <c r="C30" s="41"/>
      <c r="D30" s="42">
        <v>18</v>
      </c>
      <c r="E30" s="42">
        <v>1250</v>
      </c>
      <c r="F30" s="42">
        <v>5000</v>
      </c>
      <c r="G30" s="42">
        <v>1</v>
      </c>
      <c r="H30" s="45">
        <f>E30*0.001*2</f>
        <v>2.5</v>
      </c>
      <c r="I30" s="45" t="s">
        <v>876</v>
      </c>
      <c r="J30" s="46">
        <f>VLOOKUP(D30,BM!$A$2:$X$57,8,FALSE)</f>
        <v>0.3</v>
      </c>
      <c r="K30" s="46"/>
      <c r="L30" s="46">
        <f>H30*J30</f>
        <v>0.75</v>
      </c>
      <c r="M30" s="46">
        <v>1</v>
      </c>
      <c r="N30" s="46">
        <f>L30+M30</f>
        <v>1.75</v>
      </c>
    </row>
    <row r="31" spans="1:14" ht="18.75" customHeight="1">
      <c r="H31" s="47"/>
      <c r="I31" s="47"/>
      <c r="J31" s="48"/>
      <c r="K31" s="48"/>
      <c r="L31" s="48"/>
      <c r="M31" s="48"/>
      <c r="N31" s="48"/>
    </row>
    <row r="32" spans="1:14" ht="18.75" customHeight="1">
      <c r="A32" s="40" t="s">
        <v>884</v>
      </c>
      <c r="B32" s="40" t="s">
        <v>875</v>
      </c>
      <c r="C32" s="41"/>
      <c r="D32" s="42">
        <v>18</v>
      </c>
      <c r="E32" s="42">
        <v>2500</v>
      </c>
      <c r="F32" s="42">
        <v>4769</v>
      </c>
      <c r="G32" s="42">
        <v>2</v>
      </c>
      <c r="H32" s="45">
        <f>E32*0.001*2</f>
        <v>5</v>
      </c>
      <c r="I32" s="45" t="s">
        <v>876</v>
      </c>
      <c r="J32" s="46">
        <f>VLOOKUP(D32,BM!$A$2:$X$57,9,FALSE)</f>
        <v>1</v>
      </c>
      <c r="K32" s="46"/>
      <c r="L32" s="46">
        <f>H32*J32</f>
        <v>5</v>
      </c>
      <c r="M32" s="46">
        <v>1</v>
      </c>
      <c r="N32" s="46">
        <f>L32+M32</f>
        <v>6</v>
      </c>
    </row>
    <row r="33" spans="1:14" ht="18.75" customHeight="1">
      <c r="A33" s="40" t="s">
        <v>884</v>
      </c>
      <c r="B33" s="40" t="s">
        <v>875</v>
      </c>
      <c r="C33" s="41"/>
      <c r="D33" s="42">
        <v>18</v>
      </c>
      <c r="E33" s="42">
        <v>2500</v>
      </c>
      <c r="F33" s="42">
        <v>4769</v>
      </c>
      <c r="G33" s="42">
        <v>1</v>
      </c>
      <c r="H33" s="45">
        <f>E33*0.001*2</f>
        <v>5</v>
      </c>
      <c r="I33" s="45" t="s">
        <v>876</v>
      </c>
      <c r="J33" s="46">
        <f>VLOOKUP(D33,BM!$A$2:$X$57,9,FALSE)</f>
        <v>1</v>
      </c>
      <c r="K33" s="46"/>
      <c r="L33" s="46">
        <f>H33*J33</f>
        <v>5</v>
      </c>
      <c r="M33" s="46">
        <v>1</v>
      </c>
      <c r="N33" s="46">
        <f>L33+M33</f>
        <v>6</v>
      </c>
    </row>
    <row r="34" spans="1:14" ht="18.75" customHeight="1">
      <c r="A34" s="40" t="s">
        <v>884</v>
      </c>
      <c r="B34" s="40" t="s">
        <v>875</v>
      </c>
      <c r="C34" s="41"/>
      <c r="D34" s="42">
        <v>18</v>
      </c>
      <c r="E34" s="42">
        <v>2000</v>
      </c>
      <c r="F34" s="42">
        <v>4769</v>
      </c>
      <c r="G34" s="42">
        <v>1</v>
      </c>
      <c r="H34" s="45">
        <f>E34*0.001*2</f>
        <v>4</v>
      </c>
      <c r="I34" s="45" t="s">
        <v>876</v>
      </c>
      <c r="J34" s="46">
        <f>VLOOKUP(D34,BM!$A$2:$X$57,9,FALSE)</f>
        <v>1</v>
      </c>
      <c r="K34" s="46"/>
      <c r="L34" s="46">
        <f>H34*J34</f>
        <v>4</v>
      </c>
      <c r="M34" s="46">
        <v>1</v>
      </c>
      <c r="N34" s="46">
        <f>L34+M34</f>
        <v>5</v>
      </c>
    </row>
    <row r="35" spans="1:14" ht="18.75" customHeight="1">
      <c r="A35" s="40" t="s">
        <v>884</v>
      </c>
      <c r="B35" s="40" t="s">
        <v>875</v>
      </c>
      <c r="C35" s="41"/>
      <c r="D35" s="42">
        <v>18</v>
      </c>
      <c r="E35" s="42">
        <v>1250</v>
      </c>
      <c r="F35" s="42">
        <v>4769</v>
      </c>
      <c r="G35" s="42">
        <v>1</v>
      </c>
      <c r="H35" s="45">
        <f>E35*0.001*2</f>
        <v>2.5</v>
      </c>
      <c r="I35" s="45" t="s">
        <v>876</v>
      </c>
      <c r="J35" s="46">
        <f>VLOOKUP(D35,BM!$A$2:$X$57,9,FALSE)</f>
        <v>1</v>
      </c>
      <c r="K35" s="46"/>
      <c r="L35" s="46">
        <f>H35*J35</f>
        <v>2.5</v>
      </c>
      <c r="M35" s="46">
        <v>1</v>
      </c>
      <c r="N35" s="46">
        <f>L35+M35</f>
        <v>3.5</v>
      </c>
    </row>
    <row r="36" spans="1:14" ht="18.75" customHeight="1">
      <c r="H36" s="47"/>
      <c r="I36" s="47"/>
      <c r="J36" s="48"/>
      <c r="K36" s="48"/>
      <c r="L36" s="48"/>
      <c r="M36" s="48"/>
      <c r="N36" s="48"/>
    </row>
    <row r="37" spans="1:14" ht="18.75" customHeight="1">
      <c r="A37" s="40" t="s">
        <v>885</v>
      </c>
      <c r="B37" s="40" t="s">
        <v>875</v>
      </c>
      <c r="C37" s="41"/>
      <c r="D37" s="42">
        <v>18</v>
      </c>
      <c r="E37" s="42">
        <v>2500</v>
      </c>
      <c r="F37" s="42">
        <v>4769</v>
      </c>
      <c r="G37" s="42">
        <v>1</v>
      </c>
      <c r="H37" s="45">
        <f>E37*0.001*G37</f>
        <v>2.5</v>
      </c>
      <c r="I37" s="45" t="s">
        <v>886</v>
      </c>
      <c r="J37" s="46">
        <f>VLOOKUP(D37,BM!$A$2:$X$57,9,FALSE)</f>
        <v>1</v>
      </c>
      <c r="K37" s="46"/>
      <c r="L37" s="46">
        <f>H37*J37</f>
        <v>2.5</v>
      </c>
      <c r="M37" s="46">
        <v>1</v>
      </c>
      <c r="N37" s="46">
        <f>L37+M37</f>
        <v>3.5</v>
      </c>
    </row>
    <row r="38" spans="1:14" ht="18.75" customHeight="1">
      <c r="A38" s="40" t="s">
        <v>885</v>
      </c>
      <c r="B38" s="40" t="s">
        <v>875</v>
      </c>
      <c r="C38" s="41"/>
      <c r="D38" s="42">
        <v>24</v>
      </c>
      <c r="E38" s="42">
        <v>2500</v>
      </c>
      <c r="F38" s="42">
        <v>4769</v>
      </c>
      <c r="G38" s="42">
        <v>1</v>
      </c>
      <c r="H38" s="45">
        <f>E38*0.001*G38</f>
        <v>2.5</v>
      </c>
      <c r="I38" s="45" t="s">
        <v>886</v>
      </c>
      <c r="J38" s="46">
        <f>VLOOKUP(D38,BM!$A$2:$X$57,9,FALSE)</f>
        <v>1</v>
      </c>
      <c r="K38" s="46"/>
      <c r="L38" s="46">
        <f>H38*J38</f>
        <v>2.5</v>
      </c>
      <c r="M38" s="46">
        <v>1</v>
      </c>
      <c r="N38" s="46">
        <f>L38+M38</f>
        <v>3.5</v>
      </c>
    </row>
    <row r="39" spans="1:14" ht="18.75" customHeight="1">
      <c r="A39" s="40" t="s">
        <v>885</v>
      </c>
      <c r="B39" s="40" t="s">
        <v>875</v>
      </c>
      <c r="C39" s="41"/>
      <c r="D39" s="42">
        <v>24</v>
      </c>
      <c r="E39" s="42">
        <v>2000</v>
      </c>
      <c r="F39" s="42">
        <v>4769</v>
      </c>
      <c r="G39" s="42">
        <v>1</v>
      </c>
      <c r="H39" s="45">
        <f>E39*0.001*G39</f>
        <v>2</v>
      </c>
      <c r="I39" s="45" t="s">
        <v>886</v>
      </c>
      <c r="J39" s="46">
        <f>VLOOKUP(D39,BM!$A$2:$X$57,9,FALSE)</f>
        <v>1</v>
      </c>
      <c r="K39" s="46"/>
      <c r="L39" s="46">
        <f>H39*J39</f>
        <v>2</v>
      </c>
      <c r="M39" s="46">
        <v>1</v>
      </c>
      <c r="N39" s="46">
        <f>L39+M39</f>
        <v>3</v>
      </c>
    </row>
    <row r="40" spans="1:14" ht="18.75" customHeight="1">
      <c r="A40" s="40" t="s">
        <v>885</v>
      </c>
      <c r="B40" s="40" t="s">
        <v>875</v>
      </c>
      <c r="C40" s="41"/>
      <c r="D40" s="42">
        <v>24</v>
      </c>
      <c r="E40" s="42">
        <v>1250</v>
      </c>
      <c r="F40" s="42">
        <v>4769</v>
      </c>
      <c r="G40" s="42">
        <v>1</v>
      </c>
      <c r="H40" s="45">
        <f>E40*0.001*G40</f>
        <v>1.25</v>
      </c>
      <c r="I40" s="45" t="s">
        <v>886</v>
      </c>
      <c r="J40" s="46">
        <f>VLOOKUP(D40,BM!$A$2:$X$57,9,FALSE)</f>
        <v>1</v>
      </c>
      <c r="K40" s="46"/>
      <c r="L40" s="46">
        <f>H40*J40</f>
        <v>1.25</v>
      </c>
      <c r="M40" s="46">
        <v>1</v>
      </c>
      <c r="N40" s="46">
        <f>L40+M40</f>
        <v>2.25</v>
      </c>
    </row>
    <row r="41" spans="1:14" ht="18.75" customHeight="1">
      <c r="A41" s="34"/>
      <c r="B41" s="34"/>
      <c r="C41" s="34"/>
    </row>
    <row r="42" spans="1:14" ht="18.75" customHeight="1">
      <c r="A42" s="40" t="s">
        <v>887</v>
      </c>
      <c r="B42" s="40" t="s">
        <v>875</v>
      </c>
      <c r="C42" s="41" t="s">
        <v>581</v>
      </c>
      <c r="D42" s="42">
        <v>24</v>
      </c>
      <c r="E42" s="42">
        <v>2500</v>
      </c>
      <c r="F42" s="42">
        <v>4769</v>
      </c>
      <c r="G42" s="42">
        <v>1</v>
      </c>
      <c r="H42" s="45">
        <v>1</v>
      </c>
      <c r="I42" s="45" t="s">
        <v>39</v>
      </c>
      <c r="J42" s="46">
        <v>3</v>
      </c>
      <c r="K42" s="46"/>
      <c r="L42" s="46">
        <f>H42*J42</f>
        <v>3</v>
      </c>
      <c r="M42" s="46">
        <v>1</v>
      </c>
      <c r="N42" s="46">
        <f>L42+M42</f>
        <v>4</v>
      </c>
    </row>
    <row r="43" spans="1:14" ht="18.75" customHeight="1">
      <c r="A43" s="40" t="s">
        <v>887</v>
      </c>
      <c r="B43" s="40" t="s">
        <v>875</v>
      </c>
      <c r="C43" s="41" t="s">
        <v>581</v>
      </c>
      <c r="D43" s="42">
        <v>24</v>
      </c>
      <c r="E43" s="42">
        <v>2500</v>
      </c>
      <c r="F43" s="42">
        <v>4769</v>
      </c>
      <c r="G43" s="42">
        <v>1</v>
      </c>
      <c r="H43" s="45">
        <v>1</v>
      </c>
      <c r="I43" s="45" t="s">
        <v>39</v>
      </c>
      <c r="J43" s="46">
        <v>3</v>
      </c>
      <c r="K43" s="46"/>
      <c r="L43" s="46">
        <f>H43*J43</f>
        <v>3</v>
      </c>
      <c r="M43" s="46">
        <v>1</v>
      </c>
      <c r="N43" s="46">
        <f>L43+M43</f>
        <v>4</v>
      </c>
    </row>
    <row r="44" spans="1:14" ht="18.75" customHeight="1">
      <c r="A44" s="40" t="s">
        <v>887</v>
      </c>
      <c r="B44" s="40" t="s">
        <v>875</v>
      </c>
      <c r="C44" s="41" t="s">
        <v>581</v>
      </c>
      <c r="D44" s="42">
        <v>24</v>
      </c>
      <c r="E44" s="42">
        <v>2000</v>
      </c>
      <c r="F44" s="42">
        <v>4769</v>
      </c>
      <c r="G44" s="42">
        <v>1</v>
      </c>
      <c r="H44" s="45">
        <v>1</v>
      </c>
      <c r="I44" s="45" t="s">
        <v>39</v>
      </c>
      <c r="J44" s="46">
        <v>3</v>
      </c>
      <c r="K44" s="46"/>
      <c r="L44" s="46">
        <f>H44*J44</f>
        <v>3</v>
      </c>
      <c r="M44" s="46">
        <v>1</v>
      </c>
      <c r="N44" s="46">
        <f>L44+M44</f>
        <v>4</v>
      </c>
    </row>
    <row r="45" spans="1:14" ht="18.75" customHeight="1">
      <c r="A45" s="40" t="s">
        <v>887</v>
      </c>
      <c r="B45" s="40" t="s">
        <v>875</v>
      </c>
      <c r="C45" s="41" t="s">
        <v>581</v>
      </c>
      <c r="D45" s="42">
        <v>24</v>
      </c>
      <c r="E45" s="42">
        <v>1250</v>
      </c>
      <c r="F45" s="42">
        <v>4769</v>
      </c>
      <c r="G45" s="42">
        <v>1</v>
      </c>
      <c r="H45" s="45">
        <v>1</v>
      </c>
      <c r="I45" s="45" t="s">
        <v>39</v>
      </c>
      <c r="J45" s="46">
        <v>3</v>
      </c>
      <c r="K45" s="46"/>
      <c r="L45" s="46">
        <f>H45*J45</f>
        <v>3</v>
      </c>
      <c r="M45" s="46">
        <v>1</v>
      </c>
      <c r="N45" s="46">
        <f>L45+M45</f>
        <v>4</v>
      </c>
    </row>
    <row r="46" spans="1:14" ht="18.75" customHeight="1">
      <c r="H46" s="47"/>
      <c r="I46" s="47"/>
      <c r="J46" s="48"/>
      <c r="K46" s="48"/>
      <c r="L46" s="48"/>
      <c r="M46" s="48"/>
      <c r="N46" s="48"/>
    </row>
    <row r="47" spans="1:14" ht="18.75" customHeight="1">
      <c r="A47" s="40" t="s">
        <v>888</v>
      </c>
      <c r="B47" s="40" t="s">
        <v>875</v>
      </c>
      <c r="C47" s="41"/>
      <c r="D47" s="42">
        <v>24</v>
      </c>
      <c r="E47" s="44">
        <v>2500</v>
      </c>
      <c r="F47" s="42" t="s">
        <v>889</v>
      </c>
      <c r="G47" s="42">
        <v>1</v>
      </c>
      <c r="H47" s="45">
        <f>E47*0.001*G47</f>
        <v>2.5</v>
      </c>
      <c r="I47" s="45" t="s">
        <v>886</v>
      </c>
      <c r="J47" s="46">
        <f>VLOOKUP(D47,BM!$A$2:$X$57,10,FALSE)</f>
        <v>1</v>
      </c>
      <c r="K47" s="46"/>
      <c r="L47" s="46">
        <f>H47*J47</f>
        <v>2.5</v>
      </c>
      <c r="M47" s="46">
        <v>1</v>
      </c>
      <c r="N47" s="46">
        <f>L47+M47</f>
        <v>3.5</v>
      </c>
    </row>
    <row r="48" spans="1:14" ht="18.75" customHeight="1">
      <c r="A48" s="40" t="s">
        <v>888</v>
      </c>
      <c r="B48" s="40" t="s">
        <v>875</v>
      </c>
      <c r="C48" s="41"/>
      <c r="D48" s="42">
        <v>24</v>
      </c>
      <c r="E48" s="44">
        <v>2500</v>
      </c>
      <c r="F48" s="42" t="s">
        <v>889</v>
      </c>
      <c r="G48" s="42">
        <v>1</v>
      </c>
      <c r="H48" s="45">
        <f>E48*0.001*G48</f>
        <v>2.5</v>
      </c>
      <c r="I48" s="45" t="s">
        <v>886</v>
      </c>
      <c r="J48" s="46">
        <f>VLOOKUP(D48,BM!$A$2:$X$57,10,FALSE)</f>
        <v>1</v>
      </c>
      <c r="K48" s="46"/>
      <c r="L48" s="46">
        <f>H48*J48</f>
        <v>2.5</v>
      </c>
      <c r="M48" s="46">
        <v>1</v>
      </c>
      <c r="N48" s="46">
        <f>L48+M48</f>
        <v>3.5</v>
      </c>
    </row>
    <row r="49" spans="1:14" ht="18.75" customHeight="1">
      <c r="A49" s="40" t="s">
        <v>888</v>
      </c>
      <c r="B49" s="40" t="s">
        <v>875</v>
      </c>
      <c r="C49" s="41"/>
      <c r="D49" s="42">
        <v>24</v>
      </c>
      <c r="E49" s="44">
        <v>2000</v>
      </c>
      <c r="F49" s="42" t="s">
        <v>889</v>
      </c>
      <c r="G49" s="42">
        <v>1</v>
      </c>
      <c r="H49" s="45">
        <f>E49*0.001*G49</f>
        <v>2</v>
      </c>
      <c r="I49" s="45" t="s">
        <v>886</v>
      </c>
      <c r="J49" s="46">
        <f>VLOOKUP(D49,BM!$A$2:$X$57,10,FALSE)</f>
        <v>1</v>
      </c>
      <c r="K49" s="46"/>
      <c r="L49" s="46">
        <f>H49*J49</f>
        <v>2</v>
      </c>
      <c r="M49" s="46">
        <v>1</v>
      </c>
      <c r="N49" s="46">
        <f>L49+M49</f>
        <v>3</v>
      </c>
    </row>
    <row r="50" spans="1:14" ht="18.75" customHeight="1">
      <c r="A50" s="40" t="s">
        <v>888</v>
      </c>
      <c r="B50" s="40" t="s">
        <v>875</v>
      </c>
      <c r="C50" s="41"/>
      <c r="D50" s="42">
        <v>24</v>
      </c>
      <c r="E50" s="44">
        <v>1250</v>
      </c>
      <c r="F50" s="42" t="s">
        <v>889</v>
      </c>
      <c r="G50" s="42">
        <v>1</v>
      </c>
      <c r="H50" s="45">
        <f>E50*0.001*G50</f>
        <v>1.25</v>
      </c>
      <c r="I50" s="45" t="s">
        <v>886</v>
      </c>
      <c r="J50" s="46">
        <f>VLOOKUP(D50,BM!$A$2:$X$57,10,FALSE)</f>
        <v>1</v>
      </c>
      <c r="K50" s="46"/>
      <c r="L50" s="46">
        <f>H50*J50</f>
        <v>1.25</v>
      </c>
      <c r="M50" s="46">
        <v>1</v>
      </c>
      <c r="N50" s="46">
        <f>L50+M50</f>
        <v>2.25</v>
      </c>
    </row>
    <row r="51" spans="1:14" ht="18.75" customHeight="1">
      <c r="H51" s="47"/>
      <c r="I51" s="47"/>
      <c r="J51" s="48"/>
      <c r="K51" s="48"/>
      <c r="L51" s="48"/>
      <c r="M51" s="48"/>
      <c r="N51" s="48"/>
    </row>
    <row r="52" spans="1:14" ht="18.75" customHeight="1">
      <c r="A52" s="40" t="s">
        <v>890</v>
      </c>
      <c r="B52" s="40" t="s">
        <v>875</v>
      </c>
      <c r="C52" s="41" t="s">
        <v>581</v>
      </c>
      <c r="D52" s="42">
        <v>24</v>
      </c>
      <c r="E52" s="44">
        <v>2500</v>
      </c>
      <c r="F52" s="42" t="s">
        <v>889</v>
      </c>
      <c r="G52" s="42">
        <v>1</v>
      </c>
      <c r="H52" s="45">
        <f>E52*0.001*G52</f>
        <v>2.5</v>
      </c>
      <c r="I52" s="45" t="s">
        <v>886</v>
      </c>
      <c r="J52" s="46">
        <v>1</v>
      </c>
      <c r="K52" s="46"/>
      <c r="L52" s="46">
        <f>H52*J52</f>
        <v>2.5</v>
      </c>
      <c r="M52" s="46">
        <v>1</v>
      </c>
      <c r="N52" s="46">
        <f>L52+M52</f>
        <v>3.5</v>
      </c>
    </row>
    <row r="53" spans="1:14" ht="18.75" customHeight="1">
      <c r="A53" s="40" t="s">
        <v>890</v>
      </c>
      <c r="B53" s="40" t="s">
        <v>875</v>
      </c>
      <c r="C53" s="41" t="s">
        <v>581</v>
      </c>
      <c r="D53" s="42">
        <v>24</v>
      </c>
      <c r="E53" s="44">
        <v>2500</v>
      </c>
      <c r="F53" s="42" t="s">
        <v>889</v>
      </c>
      <c r="G53" s="42">
        <v>1</v>
      </c>
      <c r="H53" s="45">
        <f t="shared" ref="H53:H55" si="0">E53*0.001*G53</f>
        <v>2.5</v>
      </c>
      <c r="I53" s="45" t="s">
        <v>886</v>
      </c>
      <c r="J53" s="46">
        <v>1</v>
      </c>
      <c r="K53" s="46"/>
      <c r="L53" s="46">
        <f t="shared" ref="L53:L55" si="1">H53*J53</f>
        <v>2.5</v>
      </c>
      <c r="M53" s="46">
        <v>1</v>
      </c>
      <c r="N53" s="46">
        <f t="shared" ref="N53:N55" si="2">L53+M53</f>
        <v>3.5</v>
      </c>
    </row>
    <row r="54" spans="1:14" ht="18.75" customHeight="1">
      <c r="A54" s="40" t="s">
        <v>890</v>
      </c>
      <c r="B54" s="40" t="s">
        <v>875</v>
      </c>
      <c r="C54" s="41" t="s">
        <v>581</v>
      </c>
      <c r="D54" s="42">
        <v>24</v>
      </c>
      <c r="E54" s="44">
        <v>2000</v>
      </c>
      <c r="F54" s="42" t="s">
        <v>889</v>
      </c>
      <c r="G54" s="42">
        <v>1</v>
      </c>
      <c r="H54" s="45">
        <f t="shared" si="0"/>
        <v>2</v>
      </c>
      <c r="I54" s="45" t="s">
        <v>886</v>
      </c>
      <c r="J54" s="46">
        <v>1</v>
      </c>
      <c r="K54" s="46"/>
      <c r="L54" s="46">
        <f t="shared" si="1"/>
        <v>2</v>
      </c>
      <c r="M54" s="46">
        <v>1</v>
      </c>
      <c r="N54" s="46">
        <f t="shared" si="2"/>
        <v>3</v>
      </c>
    </row>
    <row r="55" spans="1:14" ht="18.75" customHeight="1">
      <c r="A55" s="40" t="s">
        <v>890</v>
      </c>
      <c r="B55" s="40" t="s">
        <v>875</v>
      </c>
      <c r="C55" s="41" t="s">
        <v>581</v>
      </c>
      <c r="D55" s="42">
        <v>24</v>
      </c>
      <c r="E55" s="44">
        <v>1250</v>
      </c>
      <c r="F55" s="42" t="s">
        <v>889</v>
      </c>
      <c r="G55" s="42">
        <v>1</v>
      </c>
      <c r="H55" s="45">
        <f t="shared" si="0"/>
        <v>1.25</v>
      </c>
      <c r="I55" s="45" t="s">
        <v>886</v>
      </c>
      <c r="J55" s="46">
        <v>1</v>
      </c>
      <c r="K55" s="46"/>
      <c r="L55" s="46">
        <f t="shared" si="1"/>
        <v>1.25</v>
      </c>
      <c r="M55" s="46">
        <v>1</v>
      </c>
      <c r="N55" s="46">
        <f t="shared" si="2"/>
        <v>2.25</v>
      </c>
    </row>
    <row r="56" spans="1:14" ht="18.75" customHeight="1">
      <c r="H56" s="47"/>
      <c r="I56" s="47"/>
      <c r="J56" s="48"/>
      <c r="K56" s="48"/>
      <c r="L56" s="48"/>
      <c r="M56" s="48"/>
      <c r="N56" s="48"/>
    </row>
    <row r="57" spans="1:14" ht="18.75" customHeight="1">
      <c r="A57" s="40" t="s">
        <v>891</v>
      </c>
      <c r="B57" s="40" t="s">
        <v>875</v>
      </c>
      <c r="C57" s="41" t="s">
        <v>581</v>
      </c>
      <c r="D57" s="42">
        <v>24</v>
      </c>
      <c r="E57" s="42">
        <v>2500</v>
      </c>
      <c r="F57" s="42" t="s">
        <v>889</v>
      </c>
      <c r="G57" s="42">
        <v>1</v>
      </c>
      <c r="H57" s="45">
        <v>1</v>
      </c>
      <c r="I57" s="45" t="s">
        <v>39</v>
      </c>
      <c r="J57" s="49">
        <v>2</v>
      </c>
      <c r="K57" s="49"/>
      <c r="L57" s="46">
        <f>H57*J57</f>
        <v>2</v>
      </c>
      <c r="M57" s="46">
        <v>1</v>
      </c>
      <c r="N57" s="46">
        <f>L57+M57</f>
        <v>3</v>
      </c>
    </row>
    <row r="58" spans="1:14" ht="18.75" customHeight="1">
      <c r="A58" s="40" t="s">
        <v>891</v>
      </c>
      <c r="B58" s="40" t="s">
        <v>875</v>
      </c>
      <c r="C58" s="41" t="s">
        <v>581</v>
      </c>
      <c r="D58" s="42">
        <v>24</v>
      </c>
      <c r="E58" s="42">
        <v>2500</v>
      </c>
      <c r="F58" s="42" t="s">
        <v>889</v>
      </c>
      <c r="G58" s="42">
        <v>1</v>
      </c>
      <c r="H58" s="45">
        <v>1</v>
      </c>
      <c r="I58" s="45" t="s">
        <v>39</v>
      </c>
      <c r="J58" s="49">
        <v>2</v>
      </c>
      <c r="K58" s="49"/>
      <c r="L58" s="46">
        <f>H58*J58</f>
        <v>2</v>
      </c>
      <c r="M58" s="46">
        <v>1</v>
      </c>
      <c r="N58" s="46">
        <f>L58+M58</f>
        <v>3</v>
      </c>
    </row>
    <row r="59" spans="1:14" ht="18.75" customHeight="1">
      <c r="A59" s="40" t="s">
        <v>891</v>
      </c>
      <c r="B59" s="40" t="s">
        <v>875</v>
      </c>
      <c r="C59" s="41" t="s">
        <v>581</v>
      </c>
      <c r="D59" s="42">
        <v>24</v>
      </c>
      <c r="E59" s="42">
        <v>2000</v>
      </c>
      <c r="F59" s="42" t="s">
        <v>889</v>
      </c>
      <c r="G59" s="42">
        <v>1</v>
      </c>
      <c r="H59" s="45">
        <v>1</v>
      </c>
      <c r="I59" s="45" t="s">
        <v>39</v>
      </c>
      <c r="J59" s="49">
        <v>2</v>
      </c>
      <c r="K59" s="49"/>
      <c r="L59" s="46">
        <f>H59*J59</f>
        <v>2</v>
      </c>
      <c r="M59" s="46">
        <v>1</v>
      </c>
      <c r="N59" s="46">
        <f>L59+M59</f>
        <v>3</v>
      </c>
    </row>
    <row r="60" spans="1:14" ht="18.75" customHeight="1">
      <c r="A60" s="40" t="s">
        <v>891</v>
      </c>
      <c r="B60" s="40" t="s">
        <v>875</v>
      </c>
      <c r="C60" s="41" t="s">
        <v>581</v>
      </c>
      <c r="D60" s="42">
        <v>24</v>
      </c>
      <c r="E60" s="42">
        <v>1250</v>
      </c>
      <c r="F60" s="42" t="s">
        <v>889</v>
      </c>
      <c r="G60" s="42">
        <v>1</v>
      </c>
      <c r="H60" s="45">
        <v>1</v>
      </c>
      <c r="I60" s="45" t="s">
        <v>39</v>
      </c>
      <c r="J60" s="49">
        <v>2</v>
      </c>
      <c r="K60" s="49"/>
      <c r="L60" s="46">
        <f>H60*J60</f>
        <v>2</v>
      </c>
      <c r="M60" s="46">
        <v>1</v>
      </c>
      <c r="N60" s="46">
        <f>L60+M60</f>
        <v>3</v>
      </c>
    </row>
    <row r="61" spans="1:14" ht="18.75" customHeight="1">
      <c r="H61" s="47"/>
      <c r="I61" s="47"/>
      <c r="J61" s="48"/>
      <c r="K61" s="48"/>
      <c r="L61" s="48"/>
      <c r="M61" s="48"/>
      <c r="N61" s="48"/>
    </row>
    <row r="62" spans="1:14" ht="18.75" customHeight="1">
      <c r="A62" s="40" t="s">
        <v>892</v>
      </c>
      <c r="B62" s="40" t="s">
        <v>875</v>
      </c>
      <c r="C62" s="41"/>
      <c r="D62" s="42">
        <v>12</v>
      </c>
      <c r="E62" s="42">
        <v>2500</v>
      </c>
      <c r="F62" s="42">
        <v>4769</v>
      </c>
      <c r="G62" s="42">
        <v>1</v>
      </c>
      <c r="H62" s="45">
        <f>F62*0.001*G62</f>
        <v>4.7690000000000001</v>
      </c>
      <c r="I62" s="45" t="s">
        <v>39</v>
      </c>
      <c r="J62" s="49">
        <f>VLOOKUP(D62,BM!$A$2:$X$57,12,FALSE)</f>
        <v>2.5</v>
      </c>
      <c r="K62" s="49"/>
      <c r="L62" s="46">
        <f>H62*J62</f>
        <v>11.922499999999999</v>
      </c>
      <c r="M62" s="46">
        <v>1</v>
      </c>
      <c r="N62" s="46">
        <f>L62+M62</f>
        <v>12.922499999999999</v>
      </c>
    </row>
    <row r="63" spans="1:14" ht="18.75" customHeight="1">
      <c r="A63" s="40" t="s">
        <v>892</v>
      </c>
      <c r="B63" s="40" t="s">
        <v>875</v>
      </c>
      <c r="C63" s="41"/>
      <c r="D63" s="42">
        <v>12</v>
      </c>
      <c r="E63" s="42">
        <v>2500</v>
      </c>
      <c r="F63" s="42">
        <v>4769</v>
      </c>
      <c r="G63" s="42">
        <v>1</v>
      </c>
      <c r="H63" s="45">
        <f t="shared" ref="H63:H65" si="3">F63*0.001*G63</f>
        <v>4.7690000000000001</v>
      </c>
      <c r="I63" s="45" t="s">
        <v>39</v>
      </c>
      <c r="J63" s="49">
        <f>VLOOKUP(D63,BM!$A$2:$X$57,12,FALSE)</f>
        <v>2.5</v>
      </c>
      <c r="K63" s="49"/>
      <c r="L63" s="46">
        <f>H63*J63</f>
        <v>11.922499999999999</v>
      </c>
      <c r="M63" s="46">
        <v>1</v>
      </c>
      <c r="N63" s="46">
        <f>L63+M63</f>
        <v>12.922499999999999</v>
      </c>
    </row>
    <row r="64" spans="1:14" ht="18.75" customHeight="1">
      <c r="A64" s="40" t="s">
        <v>892</v>
      </c>
      <c r="B64" s="40" t="s">
        <v>875</v>
      </c>
      <c r="C64" s="41"/>
      <c r="D64" s="42">
        <v>12</v>
      </c>
      <c r="E64" s="42">
        <v>2000</v>
      </c>
      <c r="F64" s="42">
        <v>4769</v>
      </c>
      <c r="G64" s="42">
        <v>1</v>
      </c>
      <c r="H64" s="45">
        <f t="shared" si="3"/>
        <v>4.7690000000000001</v>
      </c>
      <c r="I64" s="45" t="s">
        <v>39</v>
      </c>
      <c r="J64" s="49">
        <f>VLOOKUP(D64,BM!$A$2:$X$57,12,FALSE)</f>
        <v>2.5</v>
      </c>
      <c r="K64" s="49"/>
      <c r="L64" s="46">
        <f>H64*J64</f>
        <v>11.922499999999999</v>
      </c>
      <c r="M64" s="46">
        <v>1</v>
      </c>
      <c r="N64" s="46">
        <f>L64+M64</f>
        <v>12.922499999999999</v>
      </c>
    </row>
    <row r="65" spans="1:14" ht="18.75" customHeight="1">
      <c r="A65" s="40" t="s">
        <v>892</v>
      </c>
      <c r="B65" s="40" t="s">
        <v>875</v>
      </c>
      <c r="C65" s="41"/>
      <c r="D65" s="42">
        <v>12</v>
      </c>
      <c r="E65" s="42">
        <v>1250</v>
      </c>
      <c r="F65" s="42">
        <v>4769</v>
      </c>
      <c r="G65" s="42">
        <v>1</v>
      </c>
      <c r="H65" s="45">
        <f t="shared" si="3"/>
        <v>4.7690000000000001</v>
      </c>
      <c r="I65" s="45" t="s">
        <v>39</v>
      </c>
      <c r="J65" s="49">
        <f>VLOOKUP(D65,BM!$A$2:$X$57,12,FALSE)</f>
        <v>2.5</v>
      </c>
      <c r="K65" s="49"/>
      <c r="L65" s="46">
        <f>H65*J65</f>
        <v>11.922499999999999</v>
      </c>
      <c r="M65" s="46">
        <v>1</v>
      </c>
      <c r="N65" s="46">
        <f>L65+M65</f>
        <v>12.922499999999999</v>
      </c>
    </row>
    <row r="66" spans="1:14" ht="18.75" customHeight="1">
      <c r="H66" s="47"/>
      <c r="I66" s="47"/>
      <c r="J66" s="48"/>
      <c r="K66" s="48"/>
      <c r="L66" s="48"/>
      <c r="M66" s="48"/>
      <c r="N66" s="48"/>
    </row>
    <row r="67" spans="1:14" ht="18.75" customHeight="1">
      <c r="A67" s="40" t="s">
        <v>893</v>
      </c>
      <c r="B67" s="40" t="s">
        <v>875</v>
      </c>
      <c r="C67" s="41"/>
      <c r="D67" s="42">
        <v>6</v>
      </c>
      <c r="E67" s="42" t="s">
        <v>894</v>
      </c>
      <c r="F67" s="44">
        <v>2500</v>
      </c>
      <c r="G67" s="42">
        <v>1</v>
      </c>
      <c r="H67" s="45">
        <f>F67*0.001*G67</f>
        <v>2.5</v>
      </c>
      <c r="I67" s="45" t="s">
        <v>39</v>
      </c>
      <c r="J67" s="49">
        <f>VLOOKUP(D67,BM!$A$2:$X$57,18,FALSE)</f>
        <v>1</v>
      </c>
      <c r="K67" s="49"/>
      <c r="L67" s="46">
        <f>H67*J67</f>
        <v>2.5</v>
      </c>
      <c r="M67" s="46">
        <v>1</v>
      </c>
      <c r="N67" s="46">
        <f>L67+M67</f>
        <v>3.5</v>
      </c>
    </row>
    <row r="68" spans="1:14" ht="18.75" customHeight="1">
      <c r="A68" s="40" t="s">
        <v>893</v>
      </c>
      <c r="B68" s="40" t="s">
        <v>875</v>
      </c>
      <c r="C68" s="41"/>
      <c r="D68" s="42">
        <v>6</v>
      </c>
      <c r="E68" s="42" t="s">
        <v>894</v>
      </c>
      <c r="F68" s="44">
        <v>2500</v>
      </c>
      <c r="G68" s="42">
        <v>1</v>
      </c>
      <c r="H68" s="45">
        <f t="shared" ref="H68:H70" si="4">F68*0.001*G68</f>
        <v>2.5</v>
      </c>
      <c r="I68" s="45" t="s">
        <v>39</v>
      </c>
      <c r="J68" s="49">
        <f>VLOOKUP(D68,BM!$A$2:$X$57,18,FALSE)</f>
        <v>1</v>
      </c>
      <c r="K68" s="49"/>
      <c r="L68" s="46">
        <f>H68*J68</f>
        <v>2.5</v>
      </c>
      <c r="M68" s="46">
        <v>1</v>
      </c>
      <c r="N68" s="46">
        <f>L68+M68</f>
        <v>3.5</v>
      </c>
    </row>
    <row r="69" spans="1:14" ht="18.75" customHeight="1">
      <c r="A69" s="40" t="s">
        <v>893</v>
      </c>
      <c r="B69" s="40" t="s">
        <v>875</v>
      </c>
      <c r="C69" s="41"/>
      <c r="D69" s="42">
        <v>6</v>
      </c>
      <c r="E69" s="42" t="s">
        <v>894</v>
      </c>
      <c r="F69" s="44">
        <v>2500</v>
      </c>
      <c r="G69" s="42">
        <v>1</v>
      </c>
      <c r="H69" s="45">
        <f t="shared" si="4"/>
        <v>2.5</v>
      </c>
      <c r="I69" s="45" t="s">
        <v>39</v>
      </c>
      <c r="J69" s="49">
        <f>VLOOKUP(D69,BM!$A$2:$X$57,18,FALSE)</f>
        <v>1</v>
      </c>
      <c r="K69" s="49"/>
      <c r="L69" s="46">
        <f>H69*J69</f>
        <v>2.5</v>
      </c>
      <c r="M69" s="46">
        <v>1</v>
      </c>
      <c r="N69" s="46">
        <f>L69+M69</f>
        <v>3.5</v>
      </c>
    </row>
    <row r="70" spans="1:14" ht="18.75" customHeight="1">
      <c r="A70" s="40" t="s">
        <v>893</v>
      </c>
      <c r="B70" s="40" t="s">
        <v>875</v>
      </c>
      <c r="C70" s="41"/>
      <c r="D70" s="42">
        <v>6</v>
      </c>
      <c r="E70" s="42" t="s">
        <v>894</v>
      </c>
      <c r="F70" s="44">
        <v>1250</v>
      </c>
      <c r="G70" s="42">
        <v>1</v>
      </c>
      <c r="H70" s="45">
        <f t="shared" si="4"/>
        <v>1.25</v>
      </c>
      <c r="I70" s="45" t="s">
        <v>39</v>
      </c>
      <c r="J70" s="49">
        <f>VLOOKUP(D70,BM!$A$2:$X$57,18,FALSE)</f>
        <v>1</v>
      </c>
      <c r="K70" s="49"/>
      <c r="L70" s="46">
        <f>H70*J70</f>
        <v>1.25</v>
      </c>
      <c r="M70" s="46">
        <v>1</v>
      </c>
      <c r="N70" s="46">
        <f>L70+M70</f>
        <v>2.25</v>
      </c>
    </row>
    <row r="71" spans="1:14" ht="18.75" customHeight="1">
      <c r="H71" s="47"/>
      <c r="I71" s="47"/>
      <c r="J71" s="48"/>
      <c r="K71" s="48"/>
      <c r="L71" s="48"/>
      <c r="M71" s="48"/>
      <c r="N71" s="48"/>
    </row>
    <row r="72" spans="1:14" ht="18.75" customHeight="1">
      <c r="A72" s="40" t="s">
        <v>895</v>
      </c>
      <c r="B72" s="40" t="s">
        <v>875</v>
      </c>
      <c r="C72" s="41"/>
      <c r="D72" s="42">
        <v>12</v>
      </c>
      <c r="E72" s="44">
        <v>2500</v>
      </c>
      <c r="F72" s="42" t="s">
        <v>894</v>
      </c>
      <c r="G72" s="42">
        <v>1</v>
      </c>
      <c r="H72" s="45">
        <f>E72*G72*0.001</f>
        <v>2.5</v>
      </c>
      <c r="I72" s="45" t="s">
        <v>249</v>
      </c>
      <c r="J72" s="49">
        <f>VLOOKUP(D72,BM!$A$2:$X$57,12,FALSE)</f>
        <v>2.5</v>
      </c>
      <c r="K72" s="49"/>
      <c r="L72" s="46">
        <f>H72*J72</f>
        <v>6.25</v>
      </c>
      <c r="M72" s="46">
        <v>1</v>
      </c>
      <c r="N72" s="46">
        <f>L72+M72</f>
        <v>7.25</v>
      </c>
    </row>
    <row r="73" spans="1:14" ht="18.75" customHeight="1">
      <c r="A73" s="40" t="s">
        <v>895</v>
      </c>
      <c r="B73" s="40" t="s">
        <v>875</v>
      </c>
      <c r="C73" s="41"/>
      <c r="D73" s="42">
        <v>12</v>
      </c>
      <c r="E73" s="44">
        <v>2500</v>
      </c>
      <c r="F73" s="42" t="s">
        <v>894</v>
      </c>
      <c r="G73" s="42">
        <v>1</v>
      </c>
      <c r="H73" s="45">
        <f>E73*G73*0.001</f>
        <v>2.5</v>
      </c>
      <c r="I73" s="45" t="s">
        <v>249</v>
      </c>
      <c r="J73" s="49">
        <f>VLOOKUP(D73,BM!$A$2:$X$57,12,FALSE)</f>
        <v>2.5</v>
      </c>
      <c r="K73" s="49"/>
      <c r="L73" s="46">
        <f>H73*J73</f>
        <v>6.25</v>
      </c>
      <c r="M73" s="46">
        <v>1</v>
      </c>
      <c r="N73" s="46">
        <f>L73+M73</f>
        <v>7.25</v>
      </c>
    </row>
    <row r="74" spans="1:14" ht="18.75" customHeight="1">
      <c r="A74" s="40" t="s">
        <v>895</v>
      </c>
      <c r="B74" s="40" t="s">
        <v>875</v>
      </c>
      <c r="C74" s="41"/>
      <c r="D74" s="42">
        <v>12</v>
      </c>
      <c r="E74" s="44">
        <v>2000</v>
      </c>
      <c r="F74" s="42" t="s">
        <v>894</v>
      </c>
      <c r="G74" s="42">
        <v>1</v>
      </c>
      <c r="H74" s="45">
        <f>E74*G74*0.001</f>
        <v>2</v>
      </c>
      <c r="I74" s="45" t="s">
        <v>249</v>
      </c>
      <c r="J74" s="49">
        <f>VLOOKUP(D74,BM!$A$2:$X$57,12,FALSE)</f>
        <v>2.5</v>
      </c>
      <c r="K74" s="49"/>
      <c r="L74" s="46">
        <f>H74*J74</f>
        <v>5</v>
      </c>
      <c r="M74" s="46">
        <v>1</v>
      </c>
      <c r="N74" s="46">
        <f>L74+M74</f>
        <v>6</v>
      </c>
    </row>
    <row r="75" spans="1:14" ht="18.75" customHeight="1">
      <c r="A75" s="40" t="s">
        <v>895</v>
      </c>
      <c r="B75" s="40" t="s">
        <v>875</v>
      </c>
      <c r="C75" s="41"/>
      <c r="D75" s="42">
        <v>12</v>
      </c>
      <c r="E75" s="44">
        <v>1250</v>
      </c>
      <c r="F75" s="42" t="s">
        <v>894</v>
      </c>
      <c r="G75" s="42">
        <v>1</v>
      </c>
      <c r="H75" s="45">
        <f>E75*G75*0.001</f>
        <v>1.25</v>
      </c>
      <c r="I75" s="45" t="s">
        <v>249</v>
      </c>
      <c r="J75" s="49">
        <f>VLOOKUP(D75,BM!$A$2:$X$57,12,FALSE)</f>
        <v>2.5</v>
      </c>
      <c r="K75" s="49"/>
      <c r="L75" s="46">
        <f>H75*J75</f>
        <v>3.125</v>
      </c>
      <c r="M75" s="46">
        <v>1</v>
      </c>
      <c r="N75" s="46">
        <f>L75+M75</f>
        <v>4.125</v>
      </c>
    </row>
    <row r="76" spans="1:14" ht="18.75" customHeight="1">
      <c r="H76" s="47"/>
      <c r="I76" s="47"/>
      <c r="J76" s="48"/>
      <c r="K76" s="48"/>
      <c r="L76" s="48"/>
      <c r="M76" s="48"/>
      <c r="N76" s="48"/>
    </row>
    <row r="77" spans="1:14" ht="18.75" customHeight="1">
      <c r="A77" s="40" t="s">
        <v>896</v>
      </c>
      <c r="B77" s="40" t="s">
        <v>875</v>
      </c>
      <c r="C77" s="41"/>
      <c r="D77" s="42">
        <v>12</v>
      </c>
      <c r="E77" s="44">
        <v>2500</v>
      </c>
      <c r="F77" s="42" t="s">
        <v>894</v>
      </c>
      <c r="G77" s="42">
        <v>1</v>
      </c>
      <c r="H77" s="45">
        <f>E77*G77*0.001</f>
        <v>2.5</v>
      </c>
      <c r="I77" s="45" t="s">
        <v>886</v>
      </c>
      <c r="J77" s="49">
        <f>VLOOKUP(D77,BM!$A$2:$X$57,20,FALSE)</f>
        <v>0.5</v>
      </c>
      <c r="K77" s="49"/>
      <c r="L77" s="46">
        <f>H77*J77</f>
        <v>1.25</v>
      </c>
      <c r="M77" s="46">
        <v>1</v>
      </c>
      <c r="N77" s="46">
        <f>L77+M77</f>
        <v>2.25</v>
      </c>
    </row>
    <row r="78" spans="1:14" ht="18.75" customHeight="1">
      <c r="A78" s="40" t="s">
        <v>896</v>
      </c>
      <c r="B78" s="40" t="s">
        <v>875</v>
      </c>
      <c r="C78" s="41"/>
      <c r="D78" s="42">
        <v>12</v>
      </c>
      <c r="E78" s="44">
        <v>2500</v>
      </c>
      <c r="F78" s="42" t="s">
        <v>894</v>
      </c>
      <c r="G78" s="42">
        <v>1</v>
      </c>
      <c r="H78" s="45">
        <f>E78*G78*0.001</f>
        <v>2.5</v>
      </c>
      <c r="I78" s="45" t="s">
        <v>886</v>
      </c>
      <c r="J78" s="49">
        <f>VLOOKUP(D78,BM!$A$2:$X$57,20,FALSE)</f>
        <v>0.5</v>
      </c>
      <c r="K78" s="49"/>
      <c r="L78" s="46">
        <f>H78*J78</f>
        <v>1.25</v>
      </c>
      <c r="M78" s="46">
        <v>1</v>
      </c>
      <c r="N78" s="46">
        <f>L78+M78</f>
        <v>2.25</v>
      </c>
    </row>
    <row r="79" spans="1:14" ht="18.75" customHeight="1">
      <c r="A79" s="40" t="s">
        <v>896</v>
      </c>
      <c r="B79" s="40" t="s">
        <v>875</v>
      </c>
      <c r="C79" s="41"/>
      <c r="D79" s="42">
        <v>12</v>
      </c>
      <c r="E79" s="44">
        <v>2000</v>
      </c>
      <c r="F79" s="42" t="s">
        <v>894</v>
      </c>
      <c r="G79" s="42">
        <v>1</v>
      </c>
      <c r="H79" s="45">
        <f>E79*G79*0.001</f>
        <v>2</v>
      </c>
      <c r="I79" s="45" t="s">
        <v>886</v>
      </c>
      <c r="J79" s="49">
        <f>VLOOKUP(D79,BM!$A$2:$X$57,20,FALSE)</f>
        <v>0.5</v>
      </c>
      <c r="K79" s="49"/>
      <c r="L79" s="46">
        <f>H79*J79</f>
        <v>1</v>
      </c>
      <c r="M79" s="46">
        <v>1</v>
      </c>
      <c r="N79" s="46">
        <f>L79+M79</f>
        <v>2</v>
      </c>
    </row>
    <row r="80" spans="1:14" ht="18.75" customHeight="1">
      <c r="A80" s="40" t="s">
        <v>896</v>
      </c>
      <c r="B80" s="40" t="s">
        <v>875</v>
      </c>
      <c r="C80" s="41"/>
      <c r="D80" s="42">
        <v>12</v>
      </c>
      <c r="E80" s="44">
        <v>1250</v>
      </c>
      <c r="F80" s="42" t="s">
        <v>894</v>
      </c>
      <c r="G80" s="42">
        <v>1</v>
      </c>
      <c r="H80" s="45">
        <f>E80*G80*0.001</f>
        <v>1.25</v>
      </c>
      <c r="I80" s="45" t="s">
        <v>886</v>
      </c>
      <c r="J80" s="49">
        <f>VLOOKUP(D80,BM!$A$2:$X$57,20,FALSE)</f>
        <v>0.5</v>
      </c>
      <c r="K80" s="49"/>
      <c r="L80" s="46">
        <f>H80*J80</f>
        <v>0.625</v>
      </c>
      <c r="M80" s="46">
        <v>1</v>
      </c>
      <c r="N80" s="46">
        <f>L80+M80</f>
        <v>1.625</v>
      </c>
    </row>
    <row r="81" spans="1:14" ht="18.75" customHeight="1">
      <c r="H81" s="47"/>
      <c r="I81" s="47"/>
      <c r="J81" s="48"/>
      <c r="K81" s="48"/>
      <c r="L81" s="48"/>
      <c r="M81" s="48"/>
      <c r="N81" s="48"/>
    </row>
    <row r="82" spans="1:14" ht="18.75" customHeight="1">
      <c r="A82" s="40" t="s">
        <v>897</v>
      </c>
      <c r="B82" s="40" t="s">
        <v>875</v>
      </c>
      <c r="C82" s="41" t="s">
        <v>581</v>
      </c>
      <c r="D82" s="42">
        <v>12</v>
      </c>
      <c r="E82" s="42" t="s">
        <v>898</v>
      </c>
      <c r="F82" s="42">
        <v>5000</v>
      </c>
      <c r="G82" s="42">
        <v>1</v>
      </c>
      <c r="H82" s="45">
        <v>1</v>
      </c>
      <c r="I82" s="45" t="s">
        <v>39</v>
      </c>
      <c r="J82" s="49">
        <f>VLOOKUP(D82,BM!$A$2:$X$57,20,FALSE)</f>
        <v>0.5</v>
      </c>
      <c r="K82" s="49"/>
      <c r="L82" s="46">
        <f>H82*J82</f>
        <v>0.5</v>
      </c>
      <c r="M82" s="46">
        <v>1</v>
      </c>
      <c r="N82" s="46">
        <f>L82+M82</f>
        <v>1.5</v>
      </c>
    </row>
    <row r="83" spans="1:14" ht="18.75" customHeight="1">
      <c r="A83" s="40" t="s">
        <v>897</v>
      </c>
      <c r="B83" s="40" t="s">
        <v>875</v>
      </c>
      <c r="C83" s="41" t="s">
        <v>581</v>
      </c>
      <c r="D83" s="42">
        <v>12</v>
      </c>
      <c r="E83" s="42" t="s">
        <v>898</v>
      </c>
      <c r="F83" s="42">
        <v>5000</v>
      </c>
      <c r="G83" s="42">
        <v>1</v>
      </c>
      <c r="H83" s="45">
        <v>1</v>
      </c>
      <c r="I83" s="45" t="s">
        <v>39</v>
      </c>
      <c r="J83" s="49">
        <f>VLOOKUP(D83,BM!$A$2:$X$57,20,FALSE)</f>
        <v>0.5</v>
      </c>
      <c r="K83" s="49"/>
      <c r="L83" s="46">
        <f>H83*J83</f>
        <v>0.5</v>
      </c>
      <c r="M83" s="46">
        <v>1</v>
      </c>
      <c r="N83" s="46">
        <f>L83+M83</f>
        <v>1.5</v>
      </c>
    </row>
    <row r="84" spans="1:14" ht="18.75" customHeight="1">
      <c r="A84" s="40" t="s">
        <v>897</v>
      </c>
      <c r="B84" s="40" t="s">
        <v>875</v>
      </c>
      <c r="C84" s="41" t="s">
        <v>581</v>
      </c>
      <c r="D84" s="42">
        <v>12</v>
      </c>
      <c r="E84" s="42" t="s">
        <v>898</v>
      </c>
      <c r="F84" s="42">
        <v>5000</v>
      </c>
      <c r="G84" s="42">
        <v>1</v>
      </c>
      <c r="H84" s="45">
        <v>1</v>
      </c>
      <c r="I84" s="45" t="s">
        <v>39</v>
      </c>
      <c r="J84" s="49">
        <f>VLOOKUP(D84,BM!$A$2:$X$57,20,FALSE)</f>
        <v>0.5</v>
      </c>
      <c r="K84" s="49"/>
      <c r="L84" s="46">
        <f>H84*J84</f>
        <v>0.5</v>
      </c>
      <c r="M84" s="46">
        <v>1</v>
      </c>
      <c r="N84" s="46">
        <f>L84+M84</f>
        <v>1.5</v>
      </c>
    </row>
    <row r="85" spans="1:14" ht="18.75" customHeight="1">
      <c r="A85" s="40" t="s">
        <v>897</v>
      </c>
      <c r="B85" s="40" t="s">
        <v>875</v>
      </c>
      <c r="C85" s="41" t="s">
        <v>581</v>
      </c>
      <c r="D85" s="42">
        <v>12</v>
      </c>
      <c r="E85" s="42" t="s">
        <v>898</v>
      </c>
      <c r="F85" s="42">
        <v>5000</v>
      </c>
      <c r="G85" s="42">
        <v>1</v>
      </c>
      <c r="H85" s="45">
        <v>1</v>
      </c>
      <c r="I85" s="45" t="s">
        <v>39</v>
      </c>
      <c r="J85" s="49">
        <f>VLOOKUP(D85,BM!$A$2:$X$57,20,FALSE)</f>
        <v>0.5</v>
      </c>
      <c r="K85" s="49"/>
      <c r="L85" s="46">
        <f>H85*J85</f>
        <v>0.5</v>
      </c>
      <c r="M85" s="46">
        <v>1</v>
      </c>
      <c r="N85" s="46">
        <f>L85+M85</f>
        <v>1.5</v>
      </c>
    </row>
    <row r="86" spans="1:14" ht="18.75" customHeight="1">
      <c r="H86" s="47"/>
      <c r="I86" s="47"/>
      <c r="J86" s="48"/>
      <c r="K86" s="48"/>
      <c r="L86" s="48"/>
      <c r="M86" s="48"/>
      <c r="N86" s="48"/>
    </row>
    <row r="87" spans="1:14" ht="18.75" customHeight="1">
      <c r="A87" s="40" t="s">
        <v>899</v>
      </c>
      <c r="B87" s="40" t="s">
        <v>875</v>
      </c>
      <c r="C87" s="41" t="s">
        <v>581</v>
      </c>
      <c r="D87" s="42">
        <v>12</v>
      </c>
      <c r="E87" s="42" t="s">
        <v>900</v>
      </c>
      <c r="F87" s="42" t="s">
        <v>901</v>
      </c>
      <c r="G87" s="42">
        <v>1</v>
      </c>
      <c r="H87" s="45">
        <v>1</v>
      </c>
      <c r="I87" s="45" t="s">
        <v>39</v>
      </c>
      <c r="J87" s="49" t="s">
        <v>902</v>
      </c>
      <c r="K87" s="49"/>
      <c r="L87" s="46"/>
      <c r="M87" s="46"/>
      <c r="N87" s="46" t="str">
        <f>J87</f>
        <v>1 DAY</v>
      </c>
    </row>
    <row r="88" spans="1:14" ht="18.75" customHeight="1">
      <c r="A88" s="40" t="s">
        <v>899</v>
      </c>
      <c r="B88" s="40" t="s">
        <v>875</v>
      </c>
      <c r="C88" s="41" t="s">
        <v>581</v>
      </c>
      <c r="D88" s="42">
        <v>12</v>
      </c>
      <c r="E88" s="42" t="s">
        <v>900</v>
      </c>
      <c r="F88" s="42" t="s">
        <v>901</v>
      </c>
      <c r="G88" s="42">
        <v>1</v>
      </c>
      <c r="H88" s="45">
        <v>1</v>
      </c>
      <c r="I88" s="45" t="s">
        <v>39</v>
      </c>
      <c r="J88" s="49" t="s">
        <v>902</v>
      </c>
      <c r="K88" s="49"/>
      <c r="L88" s="46"/>
      <c r="M88" s="46"/>
      <c r="N88" s="46" t="str">
        <f t="shared" ref="N88:N90" si="5">J88</f>
        <v>1 DAY</v>
      </c>
    </row>
    <row r="89" spans="1:14" ht="18.75" customHeight="1">
      <c r="A89" s="40" t="s">
        <v>899</v>
      </c>
      <c r="B89" s="40" t="s">
        <v>875</v>
      </c>
      <c r="C89" s="41" t="s">
        <v>581</v>
      </c>
      <c r="D89" s="42">
        <v>12</v>
      </c>
      <c r="E89" s="42" t="s">
        <v>900</v>
      </c>
      <c r="F89" s="42" t="s">
        <v>903</v>
      </c>
      <c r="G89" s="42">
        <v>1</v>
      </c>
      <c r="H89" s="45">
        <v>1</v>
      </c>
      <c r="I89" s="45" t="s">
        <v>39</v>
      </c>
      <c r="J89" s="49" t="s">
        <v>902</v>
      </c>
      <c r="K89" s="49"/>
      <c r="L89" s="46"/>
      <c r="M89" s="46"/>
      <c r="N89" s="46" t="str">
        <f t="shared" si="5"/>
        <v>1 DAY</v>
      </c>
    </row>
    <row r="90" spans="1:14" ht="18.75" customHeight="1">
      <c r="A90" s="40" t="s">
        <v>899</v>
      </c>
      <c r="B90" s="40" t="s">
        <v>875</v>
      </c>
      <c r="C90" s="41" t="s">
        <v>581</v>
      </c>
      <c r="D90" s="42">
        <v>12</v>
      </c>
      <c r="E90" s="42" t="s">
        <v>900</v>
      </c>
      <c r="F90" s="42" t="s">
        <v>904</v>
      </c>
      <c r="G90" s="42">
        <v>1</v>
      </c>
      <c r="H90" s="45">
        <v>1</v>
      </c>
      <c r="I90" s="45" t="s">
        <v>39</v>
      </c>
      <c r="J90" s="49" t="s">
        <v>902</v>
      </c>
      <c r="K90" s="49"/>
      <c r="L90" s="46"/>
      <c r="M90" s="46"/>
      <c r="N90" s="46" t="str">
        <f t="shared" si="5"/>
        <v>1 DAY</v>
      </c>
    </row>
    <row r="91" spans="1:14" ht="18.75" customHeight="1">
      <c r="H91" s="47"/>
      <c r="I91" s="47"/>
      <c r="J91" s="48"/>
      <c r="K91" s="48"/>
      <c r="L91" s="48"/>
      <c r="M91" s="48"/>
      <c r="N91" s="48"/>
    </row>
    <row r="92" spans="1:14" ht="18.75" customHeight="1">
      <c r="A92" s="40" t="s">
        <v>905</v>
      </c>
      <c r="B92" s="40" t="s">
        <v>875</v>
      </c>
      <c r="C92" s="41" t="s">
        <v>581</v>
      </c>
      <c r="D92" s="42">
        <v>24</v>
      </c>
      <c r="E92" s="42">
        <v>2500</v>
      </c>
      <c r="F92" s="44">
        <v>4945</v>
      </c>
      <c r="G92" s="42">
        <v>1</v>
      </c>
      <c r="H92" s="45">
        <f>F92*0.001*G92</f>
        <v>4.9450000000000003</v>
      </c>
      <c r="I92" s="45" t="s">
        <v>886</v>
      </c>
      <c r="J92" s="49">
        <v>1</v>
      </c>
      <c r="K92" s="49"/>
      <c r="L92" s="46">
        <f>H92*J92</f>
        <v>4.9450000000000003</v>
      </c>
      <c r="M92" s="46">
        <v>1</v>
      </c>
      <c r="N92" s="46">
        <f>L92+M92</f>
        <v>5.9450000000000003</v>
      </c>
    </row>
    <row r="93" spans="1:14" ht="18.75" customHeight="1">
      <c r="A93" s="40" t="s">
        <v>905</v>
      </c>
      <c r="B93" s="40" t="s">
        <v>875</v>
      </c>
      <c r="C93" s="41" t="s">
        <v>581</v>
      </c>
      <c r="D93" s="42">
        <v>24</v>
      </c>
      <c r="E93" s="42">
        <v>2500</v>
      </c>
      <c r="F93" s="44">
        <v>4945</v>
      </c>
      <c r="G93" s="42">
        <v>1</v>
      </c>
      <c r="H93" s="45">
        <f t="shared" ref="H93:H95" si="6">F93*0.001*G93</f>
        <v>4.9450000000000003</v>
      </c>
      <c r="I93" s="45" t="s">
        <v>886</v>
      </c>
      <c r="J93" s="49">
        <v>1</v>
      </c>
      <c r="K93" s="49"/>
      <c r="L93" s="46">
        <f>H93*J93</f>
        <v>4.9450000000000003</v>
      </c>
      <c r="M93" s="46">
        <v>1</v>
      </c>
      <c r="N93" s="46">
        <f>L93+M93</f>
        <v>5.9450000000000003</v>
      </c>
    </row>
    <row r="94" spans="1:14" ht="18.75" customHeight="1">
      <c r="A94" s="40" t="s">
        <v>905</v>
      </c>
      <c r="B94" s="40" t="s">
        <v>875</v>
      </c>
      <c r="C94" s="41" t="s">
        <v>581</v>
      </c>
      <c r="D94" s="42">
        <v>24</v>
      </c>
      <c r="E94" s="42">
        <v>2000</v>
      </c>
      <c r="F94" s="44">
        <v>4945</v>
      </c>
      <c r="G94" s="42">
        <v>1</v>
      </c>
      <c r="H94" s="45">
        <f t="shared" si="6"/>
        <v>4.9450000000000003</v>
      </c>
      <c r="I94" s="45" t="s">
        <v>886</v>
      </c>
      <c r="J94" s="49">
        <v>1</v>
      </c>
      <c r="K94" s="49"/>
      <c r="L94" s="46">
        <f>H94*J94</f>
        <v>4.9450000000000003</v>
      </c>
      <c r="M94" s="46">
        <v>1</v>
      </c>
      <c r="N94" s="46">
        <f>L94+M94</f>
        <v>5.9450000000000003</v>
      </c>
    </row>
    <row r="95" spans="1:14" ht="18.75" customHeight="1">
      <c r="A95" s="40" t="s">
        <v>905</v>
      </c>
      <c r="B95" s="40" t="s">
        <v>875</v>
      </c>
      <c r="C95" s="41" t="s">
        <v>581</v>
      </c>
      <c r="D95" s="42">
        <v>24</v>
      </c>
      <c r="E95" s="42">
        <v>1000</v>
      </c>
      <c r="F95" s="44">
        <v>4945</v>
      </c>
      <c r="G95" s="42">
        <v>1</v>
      </c>
      <c r="H95" s="45">
        <f t="shared" si="6"/>
        <v>4.9450000000000003</v>
      </c>
      <c r="I95" s="45" t="s">
        <v>886</v>
      </c>
      <c r="J95" s="49">
        <v>1</v>
      </c>
      <c r="K95" s="49"/>
      <c r="L95" s="46">
        <f>H95*J95</f>
        <v>4.9450000000000003</v>
      </c>
      <c r="M95" s="46">
        <v>1</v>
      </c>
      <c r="N95" s="46">
        <f>L95+M95</f>
        <v>5.9450000000000003</v>
      </c>
    </row>
    <row r="96" spans="1:14" ht="18.75" customHeight="1">
      <c r="H96" s="47"/>
      <c r="I96" s="47"/>
      <c r="J96" s="48"/>
      <c r="K96" s="48"/>
      <c r="L96" s="48"/>
      <c r="M96" s="48"/>
      <c r="N96" s="48"/>
    </row>
    <row r="97" spans="1:14" ht="18.75" customHeight="1">
      <c r="A97" s="40" t="s">
        <v>906</v>
      </c>
      <c r="B97" s="40" t="s">
        <v>875</v>
      </c>
      <c r="C97" s="41"/>
      <c r="D97" s="42">
        <v>18</v>
      </c>
      <c r="E97" s="42">
        <v>2500</v>
      </c>
      <c r="F97" s="44">
        <v>4945</v>
      </c>
      <c r="G97" s="42">
        <v>1</v>
      </c>
      <c r="H97" s="45">
        <f>F97/1000</f>
        <v>4.9450000000000003</v>
      </c>
      <c r="I97" s="45" t="s">
        <v>886</v>
      </c>
      <c r="J97" s="49">
        <f>VLOOKUP(D97,BM!$A$2:$X$57,16,FALSE)</f>
        <v>1</v>
      </c>
      <c r="K97" s="49"/>
      <c r="L97" s="46">
        <f>H97*J97</f>
        <v>4.9450000000000003</v>
      </c>
      <c r="M97" s="46">
        <v>1</v>
      </c>
      <c r="N97" s="46">
        <f>L97+M97</f>
        <v>5.9450000000000003</v>
      </c>
    </row>
    <row r="98" spans="1:14" ht="18.75" customHeight="1">
      <c r="A98" s="40" t="s">
        <v>907</v>
      </c>
      <c r="B98" s="40" t="s">
        <v>875</v>
      </c>
      <c r="C98" s="41"/>
      <c r="D98" s="42">
        <v>18</v>
      </c>
      <c r="E98" s="42">
        <v>2500</v>
      </c>
      <c r="F98" s="44">
        <v>4945</v>
      </c>
      <c r="G98" s="42">
        <v>1</v>
      </c>
      <c r="H98" s="45">
        <f>F98/1000</f>
        <v>4.9450000000000003</v>
      </c>
      <c r="I98" s="45" t="s">
        <v>886</v>
      </c>
      <c r="J98" s="49">
        <f>VLOOKUP(D98,BM!$A$2:$X$57,16,FALSE)</f>
        <v>1</v>
      </c>
      <c r="K98" s="49"/>
      <c r="L98" s="46">
        <f>H98*J98</f>
        <v>4.9450000000000003</v>
      </c>
      <c r="M98" s="46">
        <v>1</v>
      </c>
      <c r="N98" s="46">
        <f>L98+M98</f>
        <v>5.9450000000000003</v>
      </c>
    </row>
    <row r="99" spans="1:14" ht="18.75" customHeight="1">
      <c r="H99" s="47"/>
      <c r="I99" s="47"/>
      <c r="J99" s="48"/>
      <c r="K99" s="48"/>
      <c r="L99" s="48"/>
      <c r="M99" s="48"/>
      <c r="N99" s="48"/>
    </row>
    <row r="100" spans="1:14" ht="18.75" customHeight="1">
      <c r="A100" s="37" t="s">
        <v>866</v>
      </c>
      <c r="B100" s="38" t="s">
        <v>867</v>
      </c>
      <c r="C100" s="38"/>
      <c r="D100" s="39" t="s">
        <v>2</v>
      </c>
      <c r="E100" s="39" t="s">
        <v>908</v>
      </c>
      <c r="F100" s="39" t="s">
        <v>909</v>
      </c>
      <c r="G100" s="39" t="s">
        <v>4</v>
      </c>
      <c r="H100" s="39" t="s">
        <v>870</v>
      </c>
      <c r="I100" s="39" t="s">
        <v>5</v>
      </c>
      <c r="J100" s="39" t="s">
        <v>871</v>
      </c>
      <c r="K100" s="39" t="s">
        <v>5</v>
      </c>
      <c r="L100" s="39" t="s">
        <v>870</v>
      </c>
      <c r="M100" s="39" t="s">
        <v>872</v>
      </c>
      <c r="N100" s="39" t="s">
        <v>873</v>
      </c>
    </row>
    <row r="101" spans="1:14" ht="18.75" customHeight="1">
      <c r="A101" s="40" t="s">
        <v>910</v>
      </c>
      <c r="B101" s="40" t="s">
        <v>875</v>
      </c>
      <c r="C101" s="41"/>
      <c r="D101" s="42">
        <v>18</v>
      </c>
      <c r="E101" s="42">
        <v>1500</v>
      </c>
      <c r="F101" s="44">
        <v>2500</v>
      </c>
      <c r="G101" s="42">
        <v>1</v>
      </c>
      <c r="H101" s="45">
        <f>(E101+D101)*3.142/1000</f>
        <v>4.7695559999999997</v>
      </c>
      <c r="I101" s="45" t="s">
        <v>886</v>
      </c>
      <c r="J101" s="49">
        <f>VLOOKUP(D101,BM!$A$2:$X$57,12,FALSE)</f>
        <v>4.9000000000000004</v>
      </c>
      <c r="K101" s="49" t="s">
        <v>911</v>
      </c>
      <c r="L101" s="46">
        <f>H101*J101</f>
        <v>23.3708244</v>
      </c>
      <c r="M101" s="46">
        <v>1</v>
      </c>
      <c r="N101" s="46">
        <f>L101+M101</f>
        <v>24.3708244</v>
      </c>
    </row>
    <row r="102" spans="1:14" ht="18.75" customHeight="1">
      <c r="A102" s="40" t="s">
        <v>912</v>
      </c>
      <c r="B102" s="40" t="s">
        <v>875</v>
      </c>
      <c r="C102" s="41"/>
      <c r="D102" s="42">
        <v>18</v>
      </c>
      <c r="E102" s="42">
        <v>1500</v>
      </c>
      <c r="F102" s="44">
        <v>2500</v>
      </c>
      <c r="G102" s="42">
        <v>1</v>
      </c>
      <c r="H102" s="45">
        <f>(E102+D102)*3.142/1000</f>
        <v>4.7695559999999997</v>
      </c>
      <c r="I102" s="45" t="s">
        <v>886</v>
      </c>
      <c r="J102" s="49">
        <f>VLOOKUP(D102,BM!$A$2:$X$57,12,FALSE)</f>
        <v>4.9000000000000004</v>
      </c>
      <c r="K102" s="49" t="s">
        <v>911</v>
      </c>
      <c r="L102" s="46">
        <f>H102*J102</f>
        <v>23.3708244</v>
      </c>
      <c r="M102" s="46">
        <v>1</v>
      </c>
      <c r="N102" s="46">
        <f>L102+M102</f>
        <v>24.3708244</v>
      </c>
    </row>
    <row r="103" spans="1:14" ht="18.75" customHeight="1">
      <c r="H103" s="47"/>
      <c r="I103" s="47"/>
      <c r="J103" s="48"/>
      <c r="K103" s="48"/>
      <c r="L103" s="48"/>
      <c r="M103" s="48"/>
      <c r="N103" s="48"/>
    </row>
    <row r="104" spans="1:14" ht="18.75" customHeight="1">
      <c r="A104" s="37" t="s">
        <v>866</v>
      </c>
      <c r="B104" s="38" t="s">
        <v>867</v>
      </c>
      <c r="C104" s="38"/>
      <c r="D104" s="39" t="s">
        <v>2</v>
      </c>
      <c r="E104" s="39" t="s">
        <v>908</v>
      </c>
      <c r="F104" s="39" t="s">
        <v>909</v>
      </c>
      <c r="G104" s="39" t="s">
        <v>4</v>
      </c>
      <c r="H104" s="39" t="s">
        <v>870</v>
      </c>
      <c r="I104" s="39" t="s">
        <v>5</v>
      </c>
      <c r="J104" s="39" t="s">
        <v>871</v>
      </c>
      <c r="K104" s="39" t="s">
        <v>5</v>
      </c>
      <c r="L104" s="39" t="s">
        <v>870</v>
      </c>
      <c r="M104" s="39" t="s">
        <v>872</v>
      </c>
      <c r="N104" s="39" t="s">
        <v>873</v>
      </c>
    </row>
    <row r="105" spans="1:14" ht="18.75" customHeight="1">
      <c r="A105" s="40" t="s">
        <v>913</v>
      </c>
      <c r="B105" s="40" t="s">
        <v>875</v>
      </c>
      <c r="C105" s="41"/>
      <c r="D105" s="42">
        <v>16</v>
      </c>
      <c r="E105" s="42">
        <v>1500</v>
      </c>
      <c r="F105" s="42"/>
      <c r="G105" s="42">
        <v>1</v>
      </c>
      <c r="H105" s="45">
        <f>(E105+D105)*3.142/1000</f>
        <v>4.7632719999999997</v>
      </c>
      <c r="I105" s="45" t="s">
        <v>886</v>
      </c>
      <c r="J105" s="49">
        <f>VLOOKUP(D105,BM!$A$2:$X$57,18,FALSE)</f>
        <v>1</v>
      </c>
      <c r="K105" s="49"/>
      <c r="L105" s="46">
        <f>H105*J105</f>
        <v>4.7632719999999997</v>
      </c>
      <c r="M105" s="46">
        <v>1</v>
      </c>
      <c r="N105" s="46">
        <f>L105+M105</f>
        <v>5.7632719999999997</v>
      </c>
    </row>
    <row r="106" spans="1:14" ht="18.75" customHeight="1">
      <c r="A106" s="40" t="s">
        <v>914</v>
      </c>
      <c r="B106" s="40" t="s">
        <v>875</v>
      </c>
      <c r="C106" s="41"/>
      <c r="D106" s="42">
        <v>16</v>
      </c>
      <c r="E106" s="42">
        <v>1500</v>
      </c>
      <c r="F106" s="42"/>
      <c r="G106" s="42">
        <v>1</v>
      </c>
      <c r="H106" s="45">
        <f>(E106+D106)*3.142/1000</f>
        <v>4.7632719999999997</v>
      </c>
      <c r="I106" s="45" t="s">
        <v>886</v>
      </c>
      <c r="J106" s="49">
        <f>VLOOKUP(D106,BM!$A$2:$X$57,18,FALSE)</f>
        <v>1</v>
      </c>
      <c r="K106" s="49"/>
      <c r="L106" s="46">
        <f>H106*J106</f>
        <v>4.7632719999999997</v>
      </c>
      <c r="M106" s="46">
        <v>1</v>
      </c>
      <c r="N106" s="46">
        <f>L106+M106</f>
        <v>5.7632719999999997</v>
      </c>
    </row>
    <row r="107" spans="1:14" ht="18.75" customHeight="1">
      <c r="H107" s="47"/>
      <c r="I107" s="47"/>
      <c r="J107" s="48"/>
      <c r="K107" s="48"/>
      <c r="L107" s="48"/>
      <c r="M107" s="48"/>
      <c r="N107" s="48"/>
    </row>
    <row r="108" spans="1:14" ht="18.75" customHeight="1">
      <c r="A108" s="37" t="s">
        <v>866</v>
      </c>
      <c r="B108" s="38" t="s">
        <v>867</v>
      </c>
      <c r="C108" s="38"/>
      <c r="D108" s="39" t="s">
        <v>2</v>
      </c>
      <c r="E108" s="39" t="s">
        <v>908</v>
      </c>
      <c r="F108" s="39" t="s">
        <v>909</v>
      </c>
      <c r="G108" s="39" t="s">
        <v>4</v>
      </c>
      <c r="H108" s="39" t="s">
        <v>870</v>
      </c>
      <c r="I108" s="39" t="s">
        <v>5</v>
      </c>
      <c r="J108" s="39" t="s">
        <v>871</v>
      </c>
      <c r="K108" s="39" t="s">
        <v>5</v>
      </c>
      <c r="L108" s="39" t="s">
        <v>870</v>
      </c>
      <c r="M108" s="39" t="s">
        <v>872</v>
      </c>
      <c r="N108" s="39" t="s">
        <v>873</v>
      </c>
    </row>
    <row r="109" spans="1:14" ht="18.75" customHeight="1">
      <c r="A109" s="40" t="s">
        <v>915</v>
      </c>
      <c r="B109" s="40" t="s">
        <v>875</v>
      </c>
      <c r="C109" s="41"/>
      <c r="D109" s="42">
        <f>6</f>
        <v>6</v>
      </c>
      <c r="E109" s="42">
        <v>1500</v>
      </c>
      <c r="F109" s="42"/>
      <c r="G109" s="42">
        <v>1</v>
      </c>
      <c r="H109" s="45">
        <f>(E109+D109)*3.142/1000</f>
        <v>4.7318519999999999</v>
      </c>
      <c r="I109" s="45" t="s">
        <v>886</v>
      </c>
      <c r="J109" s="49">
        <f>VLOOKUP(D109,BM!$A$2:$X$57,12,FALSE)</f>
        <v>0.9</v>
      </c>
      <c r="K109" s="49"/>
      <c r="L109" s="46">
        <f>H109*J109</f>
        <v>4.2586668000000003</v>
      </c>
      <c r="M109" s="46">
        <v>1</v>
      </c>
      <c r="N109" s="46">
        <f>L109+M109</f>
        <v>5.2586668000000003</v>
      </c>
    </row>
    <row r="110" spans="1:14" ht="18.75" customHeight="1">
      <c r="A110" s="40" t="s">
        <v>916</v>
      </c>
      <c r="B110" s="40" t="s">
        <v>875</v>
      </c>
      <c r="C110" s="41"/>
      <c r="D110" s="42">
        <v>6</v>
      </c>
      <c r="E110" s="42">
        <v>1500</v>
      </c>
      <c r="F110" s="42"/>
      <c r="G110" s="42">
        <v>1</v>
      </c>
      <c r="H110" s="45">
        <f>(E110+D110)*3.142/1000</f>
        <v>4.7318519999999999</v>
      </c>
      <c r="I110" s="45" t="s">
        <v>886</v>
      </c>
      <c r="J110" s="49">
        <f>VLOOKUP(D110,BM!$A$2:$X$57,12,FALSE)</f>
        <v>0.9</v>
      </c>
      <c r="K110" s="49"/>
      <c r="L110" s="46">
        <f>H110*J110</f>
        <v>4.2586668000000003</v>
      </c>
      <c r="M110" s="46">
        <v>1</v>
      </c>
      <c r="N110" s="46">
        <f>L110+M110</f>
        <v>5.2586668000000003</v>
      </c>
    </row>
    <row r="111" spans="1:14" ht="18.75" customHeight="1">
      <c r="H111" s="47"/>
      <c r="I111" s="47"/>
      <c r="J111" s="48"/>
      <c r="K111" s="48"/>
      <c r="L111" s="48"/>
      <c r="M111" s="48"/>
      <c r="N111" s="48"/>
    </row>
    <row r="112" spans="1:14" ht="18.75" customHeight="1">
      <c r="A112" s="37" t="s">
        <v>866</v>
      </c>
      <c r="B112" s="38" t="s">
        <v>867</v>
      </c>
      <c r="C112" s="38"/>
      <c r="D112" s="39" t="s">
        <v>2</v>
      </c>
      <c r="E112" s="39" t="s">
        <v>908</v>
      </c>
      <c r="F112" s="39" t="s">
        <v>909</v>
      </c>
      <c r="G112" s="39" t="s">
        <v>4</v>
      </c>
      <c r="H112" s="39" t="s">
        <v>870</v>
      </c>
      <c r="I112" s="39" t="s">
        <v>5</v>
      </c>
      <c r="J112" s="39" t="s">
        <v>871</v>
      </c>
      <c r="K112" s="39" t="s">
        <v>5</v>
      </c>
      <c r="L112" s="39" t="s">
        <v>870</v>
      </c>
      <c r="M112" s="39" t="s">
        <v>872</v>
      </c>
      <c r="N112" s="39" t="s">
        <v>873</v>
      </c>
    </row>
    <row r="113" spans="1:14" ht="18.75" customHeight="1">
      <c r="A113" s="40" t="s">
        <v>917</v>
      </c>
      <c r="B113" s="40" t="s">
        <v>875</v>
      </c>
      <c r="C113" s="41"/>
      <c r="D113" s="42">
        <v>18</v>
      </c>
      <c r="E113" s="44">
        <v>1500</v>
      </c>
      <c r="F113" s="42"/>
      <c r="G113" s="42">
        <v>1</v>
      </c>
      <c r="H113" s="45">
        <f>E113*3.142/1000</f>
        <v>4.7130000000000001</v>
      </c>
      <c r="I113" s="45" t="s">
        <v>886</v>
      </c>
      <c r="J113" s="49">
        <f>VLOOKUP(D113,BM!$A$2:$X$57,16,FALSE)</f>
        <v>1</v>
      </c>
      <c r="K113" s="49"/>
      <c r="L113" s="46">
        <f t="shared" ref="L113:L118" si="7">H113*J113</f>
        <v>4.7130000000000001</v>
      </c>
      <c r="M113" s="46">
        <v>1</v>
      </c>
      <c r="N113" s="46">
        <f t="shared" ref="N113:N118" si="8">L113+M113</f>
        <v>5.7130000000000001</v>
      </c>
    </row>
    <row r="114" spans="1:14" ht="18.75" customHeight="1">
      <c r="A114" s="40" t="s">
        <v>918</v>
      </c>
      <c r="B114" s="40" t="s">
        <v>875</v>
      </c>
      <c r="C114" s="41"/>
      <c r="D114" s="42">
        <v>12</v>
      </c>
      <c r="E114" s="44">
        <v>1500</v>
      </c>
      <c r="F114" s="42"/>
      <c r="G114" s="42">
        <v>1</v>
      </c>
      <c r="H114" s="45">
        <f t="shared" ref="H114:H118" si="9">E114*3.142/1000</f>
        <v>4.7130000000000001</v>
      </c>
      <c r="I114" s="45" t="s">
        <v>886</v>
      </c>
      <c r="J114" s="49">
        <f>VLOOKUP(D114,BM!$A$2:$X$57,12,FALSE)</f>
        <v>2.5</v>
      </c>
      <c r="K114" s="49"/>
      <c r="L114" s="46">
        <f t="shared" si="7"/>
        <v>11.782500000000001</v>
      </c>
      <c r="M114" s="46">
        <v>1</v>
      </c>
      <c r="N114" s="46">
        <f t="shared" si="8"/>
        <v>12.782500000000001</v>
      </c>
    </row>
    <row r="115" spans="1:14" ht="18.75" customHeight="1">
      <c r="A115" s="40" t="s">
        <v>919</v>
      </c>
      <c r="B115" s="40" t="s">
        <v>875</v>
      </c>
      <c r="C115" s="41"/>
      <c r="D115" s="42">
        <v>18</v>
      </c>
      <c r="E115" s="44">
        <v>1500</v>
      </c>
      <c r="F115" s="42"/>
      <c r="G115" s="42">
        <v>1</v>
      </c>
      <c r="H115" s="45">
        <f t="shared" si="9"/>
        <v>4.7130000000000001</v>
      </c>
      <c r="I115" s="45" t="s">
        <v>886</v>
      </c>
      <c r="J115" s="49">
        <f>VLOOKUP(D115,BM!$A$2:$X$57,18,FALSE)</f>
        <v>1</v>
      </c>
      <c r="K115" s="49"/>
      <c r="L115" s="46">
        <f t="shared" si="7"/>
        <v>4.7130000000000001</v>
      </c>
      <c r="M115" s="46">
        <v>1</v>
      </c>
      <c r="N115" s="46">
        <f t="shared" si="8"/>
        <v>5.7130000000000001</v>
      </c>
    </row>
    <row r="116" spans="1:14" ht="18.75" customHeight="1">
      <c r="A116" s="40" t="s">
        <v>920</v>
      </c>
      <c r="B116" s="40" t="s">
        <v>875</v>
      </c>
      <c r="C116" s="41"/>
      <c r="D116" s="42">
        <v>6</v>
      </c>
      <c r="E116" s="44">
        <v>1500</v>
      </c>
      <c r="F116" s="42"/>
      <c r="G116" s="42">
        <v>1</v>
      </c>
      <c r="H116" s="45">
        <f t="shared" si="9"/>
        <v>4.7130000000000001</v>
      </c>
      <c r="I116" s="45" t="s">
        <v>886</v>
      </c>
      <c r="J116" s="49">
        <f>VLOOKUP(D116,BM!$A$2:$X$57,12,FALSE)</f>
        <v>0.9</v>
      </c>
      <c r="K116" s="49"/>
      <c r="L116" s="46">
        <f t="shared" si="7"/>
        <v>4.2416999999999998</v>
      </c>
      <c r="M116" s="46">
        <v>1</v>
      </c>
      <c r="N116" s="46">
        <f t="shared" si="8"/>
        <v>5.2416999999999998</v>
      </c>
    </row>
    <row r="117" spans="1:14" ht="18.75" customHeight="1">
      <c r="A117" s="40" t="s">
        <v>921</v>
      </c>
      <c r="B117" s="40" t="s">
        <v>875</v>
      </c>
      <c r="C117" s="41"/>
      <c r="D117" s="42">
        <v>18</v>
      </c>
      <c r="E117" s="44">
        <v>1500</v>
      </c>
      <c r="F117" s="42"/>
      <c r="G117" s="42">
        <v>1</v>
      </c>
      <c r="H117" s="45">
        <f t="shared" si="9"/>
        <v>4.7130000000000001</v>
      </c>
      <c r="I117" s="45" t="s">
        <v>886</v>
      </c>
      <c r="J117" s="49">
        <f>VLOOKUP(D117,BM!$A$2:$X$57,20,FALSE)</f>
        <v>0.5</v>
      </c>
      <c r="K117" s="49"/>
      <c r="L117" s="46">
        <f t="shared" si="7"/>
        <v>2.3565</v>
      </c>
      <c r="M117" s="46">
        <v>1</v>
      </c>
      <c r="N117" s="46">
        <f t="shared" si="8"/>
        <v>3.3565</v>
      </c>
    </row>
    <row r="118" spans="1:14" ht="18.75" customHeight="1">
      <c r="A118" s="40" t="s">
        <v>922</v>
      </c>
      <c r="B118" s="40" t="s">
        <v>875</v>
      </c>
      <c r="C118" s="41" t="s">
        <v>581</v>
      </c>
      <c r="D118" s="42">
        <v>18</v>
      </c>
      <c r="E118" s="44">
        <v>1500</v>
      </c>
      <c r="F118" s="42"/>
      <c r="G118" s="42">
        <v>1</v>
      </c>
      <c r="H118" s="45">
        <f t="shared" si="9"/>
        <v>4.7130000000000001</v>
      </c>
      <c r="I118" s="45" t="s">
        <v>564</v>
      </c>
      <c r="J118" s="49">
        <v>1</v>
      </c>
      <c r="K118" s="49"/>
      <c r="L118" s="46">
        <f t="shared" si="7"/>
        <v>4.7130000000000001</v>
      </c>
      <c r="M118" s="46"/>
      <c r="N118" s="46">
        <f t="shared" si="8"/>
        <v>4.7130000000000001</v>
      </c>
    </row>
    <row r="119" spans="1:14" ht="18.75" customHeight="1">
      <c r="H119" s="47"/>
      <c r="I119" s="47"/>
      <c r="J119" s="48"/>
      <c r="K119" s="48"/>
      <c r="L119" s="48"/>
      <c r="M119" s="48"/>
      <c r="N119" s="48"/>
    </row>
    <row r="120" spans="1:14" ht="18.75" customHeight="1">
      <c r="A120" s="37" t="s">
        <v>866</v>
      </c>
      <c r="B120" s="38" t="s">
        <v>867</v>
      </c>
      <c r="C120" s="38"/>
      <c r="D120" s="39" t="s">
        <v>2</v>
      </c>
      <c r="E120" s="39" t="s">
        <v>908</v>
      </c>
      <c r="F120" s="39" t="s">
        <v>909</v>
      </c>
      <c r="G120" s="39" t="s">
        <v>4</v>
      </c>
      <c r="H120" s="39" t="s">
        <v>870</v>
      </c>
      <c r="I120" s="39" t="s">
        <v>5</v>
      </c>
      <c r="J120" s="39" t="s">
        <v>871</v>
      </c>
      <c r="K120" s="39" t="s">
        <v>5</v>
      </c>
      <c r="L120" s="39" t="s">
        <v>870</v>
      </c>
      <c r="M120" s="39" t="s">
        <v>872</v>
      </c>
      <c r="N120" s="39" t="s">
        <v>873</v>
      </c>
    </row>
    <row r="121" spans="1:14" ht="18.75" customHeight="1">
      <c r="A121" s="40" t="s">
        <v>923</v>
      </c>
      <c r="B121" s="40" t="s">
        <v>875</v>
      </c>
      <c r="C121" s="41"/>
      <c r="D121" s="42">
        <v>24</v>
      </c>
      <c r="E121" s="50">
        <v>1500</v>
      </c>
      <c r="F121" s="42"/>
      <c r="G121" s="42">
        <v>1</v>
      </c>
      <c r="H121" s="45">
        <f t="shared" ref="H121:H128" si="10">E121*3.142/1000</f>
        <v>4.7130000000000001</v>
      </c>
      <c r="I121" s="45" t="s">
        <v>249</v>
      </c>
      <c r="J121" s="49">
        <f>VLOOKUP(D121,BM!$A$2:$X$57,2,FALSE)</f>
        <v>0.1</v>
      </c>
      <c r="K121" s="49"/>
      <c r="L121" s="46">
        <f t="shared" ref="L121:L128" si="11">H121*J121</f>
        <v>0.47130000000000005</v>
      </c>
      <c r="M121" s="46">
        <v>0.5</v>
      </c>
      <c r="N121" s="46">
        <f t="shared" ref="N121:N128" si="12">L121+M121</f>
        <v>0.97130000000000005</v>
      </c>
    </row>
    <row r="122" spans="1:14" ht="18.75" customHeight="1">
      <c r="A122" s="40" t="s">
        <v>924</v>
      </c>
      <c r="B122" s="40" t="s">
        <v>875</v>
      </c>
      <c r="C122" s="41"/>
      <c r="D122" s="42">
        <v>24</v>
      </c>
      <c r="E122" s="44">
        <f t="shared" ref="E122:E129" si="13">E121</f>
        <v>1500</v>
      </c>
      <c r="F122" s="42"/>
      <c r="G122" s="42">
        <v>1</v>
      </c>
      <c r="H122" s="45">
        <f t="shared" si="10"/>
        <v>4.7130000000000001</v>
      </c>
      <c r="I122" s="45" t="s">
        <v>249</v>
      </c>
      <c r="J122" s="49">
        <f>VLOOKUP(D122,BM!$A$2:$X$57,5,FALSE)</f>
        <v>0.5</v>
      </c>
      <c r="K122" s="49"/>
      <c r="L122" s="46">
        <f t="shared" si="11"/>
        <v>2.3565</v>
      </c>
      <c r="M122" s="46">
        <v>0.5</v>
      </c>
      <c r="N122" s="46">
        <f t="shared" si="12"/>
        <v>2.8565</v>
      </c>
    </row>
    <row r="123" spans="1:14" ht="18.75" customHeight="1">
      <c r="A123" s="40" t="s">
        <v>925</v>
      </c>
      <c r="B123" s="40" t="s">
        <v>875</v>
      </c>
      <c r="C123" s="41"/>
      <c r="D123" s="42">
        <v>24</v>
      </c>
      <c r="E123" s="44">
        <f t="shared" si="13"/>
        <v>1500</v>
      </c>
      <c r="F123" s="42"/>
      <c r="G123" s="42">
        <v>2</v>
      </c>
      <c r="H123" s="45">
        <f t="shared" si="10"/>
        <v>4.7130000000000001</v>
      </c>
      <c r="I123" s="45" t="s">
        <v>249</v>
      </c>
      <c r="J123" s="49">
        <f>VLOOKUP(D123,BM!$A$2:$X$57,15,FALSE)</f>
        <v>1</v>
      </c>
      <c r="K123" s="49"/>
      <c r="L123" s="46">
        <f t="shared" si="11"/>
        <v>4.7130000000000001</v>
      </c>
      <c r="M123" s="46">
        <v>0.5</v>
      </c>
      <c r="N123" s="46">
        <f t="shared" si="12"/>
        <v>5.2130000000000001</v>
      </c>
    </row>
    <row r="124" spans="1:14" ht="18.75" customHeight="1">
      <c r="A124" s="40" t="s">
        <v>926</v>
      </c>
      <c r="B124" s="40" t="s">
        <v>875</v>
      </c>
      <c r="C124" s="41"/>
      <c r="D124" s="42">
        <v>24</v>
      </c>
      <c r="E124" s="44">
        <f t="shared" si="13"/>
        <v>1500</v>
      </c>
      <c r="F124" s="42"/>
      <c r="G124" s="42">
        <v>2</v>
      </c>
      <c r="H124" s="45">
        <f t="shared" si="10"/>
        <v>4.7130000000000001</v>
      </c>
      <c r="I124" s="45" t="s">
        <v>249</v>
      </c>
      <c r="J124" s="49">
        <f>VLOOKUP(D124,BM!$A$2:$X$57,16,FALSE)</f>
        <v>1</v>
      </c>
      <c r="K124" s="49"/>
      <c r="L124" s="46">
        <f t="shared" si="11"/>
        <v>4.7130000000000001</v>
      </c>
      <c r="M124" s="46">
        <v>0.5</v>
      </c>
      <c r="N124" s="46">
        <f t="shared" si="12"/>
        <v>5.2130000000000001</v>
      </c>
    </row>
    <row r="125" spans="1:14" ht="18.75" customHeight="1">
      <c r="A125" s="40" t="s">
        <v>927</v>
      </c>
      <c r="B125" s="40" t="s">
        <v>875</v>
      </c>
      <c r="C125" s="41"/>
      <c r="D125" s="42">
        <v>16</v>
      </c>
      <c r="E125" s="44">
        <f t="shared" si="13"/>
        <v>1500</v>
      </c>
      <c r="F125" s="42"/>
      <c r="G125" s="42">
        <v>2</v>
      </c>
      <c r="H125" s="45">
        <f t="shared" si="10"/>
        <v>4.7130000000000001</v>
      </c>
      <c r="I125" s="45" t="s">
        <v>249</v>
      </c>
      <c r="J125" s="49">
        <f>VLOOKUP(D125,BM!$A$2:$X$57,17,FALSE)</f>
        <v>4.0199999999999996</v>
      </c>
      <c r="K125" s="49"/>
      <c r="L125" s="46">
        <f t="shared" si="11"/>
        <v>18.946259999999999</v>
      </c>
      <c r="M125" s="46">
        <v>0.5</v>
      </c>
      <c r="N125" s="46">
        <f t="shared" si="12"/>
        <v>19.446259999999999</v>
      </c>
    </row>
    <row r="126" spans="1:14" ht="18.75" customHeight="1">
      <c r="A126" s="40" t="s">
        <v>928</v>
      </c>
      <c r="B126" s="40" t="s">
        <v>875</v>
      </c>
      <c r="C126" s="41"/>
      <c r="D126" s="42">
        <v>16</v>
      </c>
      <c r="E126" s="44">
        <f t="shared" si="13"/>
        <v>1500</v>
      </c>
      <c r="F126" s="42"/>
      <c r="G126" s="42">
        <v>2</v>
      </c>
      <c r="H126" s="45">
        <f t="shared" si="10"/>
        <v>4.7130000000000001</v>
      </c>
      <c r="I126" s="45" t="s">
        <v>249</v>
      </c>
      <c r="J126" s="49">
        <f>VLOOKUP(D126,BM!$A$2:$X$57,18,FALSE)</f>
        <v>1</v>
      </c>
      <c r="K126" s="49"/>
      <c r="L126" s="46">
        <f t="shared" si="11"/>
        <v>4.7130000000000001</v>
      </c>
      <c r="M126" s="46">
        <v>0.5</v>
      </c>
      <c r="N126" s="46">
        <f t="shared" si="12"/>
        <v>5.2130000000000001</v>
      </c>
    </row>
    <row r="127" spans="1:14" ht="18.75" customHeight="1">
      <c r="A127" s="40" t="s">
        <v>929</v>
      </c>
      <c r="B127" s="40" t="s">
        <v>875</v>
      </c>
      <c r="C127" s="41"/>
      <c r="D127" s="42">
        <v>10</v>
      </c>
      <c r="E127" s="44">
        <f t="shared" si="13"/>
        <v>1500</v>
      </c>
      <c r="F127" s="42"/>
      <c r="G127" s="42">
        <v>2</v>
      </c>
      <c r="H127" s="45">
        <f t="shared" si="10"/>
        <v>4.7130000000000001</v>
      </c>
      <c r="I127" s="45" t="s">
        <v>249</v>
      </c>
      <c r="J127" s="49">
        <f>VLOOKUP(D127,BM!$A$2:$X$57,17,FALSE)</f>
        <v>1.88</v>
      </c>
      <c r="K127" s="49"/>
      <c r="L127" s="46">
        <f t="shared" si="11"/>
        <v>8.8604399999999988</v>
      </c>
      <c r="M127" s="46">
        <v>0.5</v>
      </c>
      <c r="N127" s="46">
        <f t="shared" si="12"/>
        <v>9.3604399999999988</v>
      </c>
    </row>
    <row r="128" spans="1:14" ht="18.75" customHeight="1">
      <c r="A128" s="40" t="s">
        <v>921</v>
      </c>
      <c r="B128" s="40" t="s">
        <v>875</v>
      </c>
      <c r="C128" s="41"/>
      <c r="D128" s="42">
        <v>10</v>
      </c>
      <c r="E128" s="44">
        <f t="shared" si="13"/>
        <v>1500</v>
      </c>
      <c r="F128" s="42"/>
      <c r="G128" s="42">
        <v>2</v>
      </c>
      <c r="H128" s="45">
        <f t="shared" si="10"/>
        <v>4.7130000000000001</v>
      </c>
      <c r="I128" s="45" t="s">
        <v>249</v>
      </c>
      <c r="J128" s="49">
        <f>VLOOKUP(D128,BM!$A$2:$X$57,20,FALSE)</f>
        <v>0.5</v>
      </c>
      <c r="K128" s="49"/>
      <c r="L128" s="46">
        <f t="shared" si="11"/>
        <v>2.3565</v>
      </c>
      <c r="M128" s="46">
        <v>0.5</v>
      </c>
      <c r="N128" s="46">
        <f t="shared" si="12"/>
        <v>2.8565</v>
      </c>
    </row>
    <row r="129" spans="1:14" ht="18.75" customHeight="1">
      <c r="A129" s="40" t="s">
        <v>922</v>
      </c>
      <c r="B129" s="40" t="s">
        <v>875</v>
      </c>
      <c r="C129" s="41" t="s">
        <v>581</v>
      </c>
      <c r="D129" s="42">
        <v>10</v>
      </c>
      <c r="E129" s="44">
        <f t="shared" si="13"/>
        <v>1500</v>
      </c>
      <c r="F129" s="42"/>
      <c r="G129" s="42">
        <v>2</v>
      </c>
      <c r="H129" s="45"/>
      <c r="I129" s="45"/>
      <c r="J129" s="49" t="s">
        <v>902</v>
      </c>
      <c r="K129" s="49"/>
      <c r="L129" s="46"/>
      <c r="M129" s="46"/>
      <c r="N129" s="46" t="str">
        <f>J129</f>
        <v>1 DAY</v>
      </c>
    </row>
    <row r="130" spans="1:14" ht="18.75" customHeight="1">
      <c r="H130" s="47"/>
      <c r="I130" s="47"/>
      <c r="J130" s="48"/>
      <c r="K130" s="48"/>
      <c r="L130" s="48"/>
      <c r="M130" s="48"/>
      <c r="N130" s="48"/>
    </row>
    <row r="131" spans="1:14" ht="18.75" customHeight="1">
      <c r="A131" s="37" t="s">
        <v>866</v>
      </c>
      <c r="B131" s="38" t="s">
        <v>867</v>
      </c>
      <c r="C131" s="38"/>
      <c r="D131" s="39" t="s">
        <v>2</v>
      </c>
      <c r="E131" s="39" t="s">
        <v>908</v>
      </c>
      <c r="F131" s="39" t="s">
        <v>909</v>
      </c>
      <c r="G131" s="39" t="s">
        <v>4</v>
      </c>
      <c r="H131" s="39" t="s">
        <v>870</v>
      </c>
      <c r="I131" s="39" t="s">
        <v>5</v>
      </c>
      <c r="J131" s="39" t="s">
        <v>871</v>
      </c>
      <c r="K131" s="39" t="s">
        <v>5</v>
      </c>
      <c r="L131" s="39" t="s">
        <v>870</v>
      </c>
      <c r="M131" s="39" t="s">
        <v>872</v>
      </c>
      <c r="N131" s="39" t="s">
        <v>873</v>
      </c>
    </row>
    <row r="132" spans="1:14" ht="18.75" customHeight="1">
      <c r="A132" s="40" t="s">
        <v>930</v>
      </c>
      <c r="B132" s="40"/>
      <c r="C132" s="41" t="s">
        <v>581</v>
      </c>
      <c r="D132" s="42">
        <v>18</v>
      </c>
      <c r="E132" s="42">
        <v>1500</v>
      </c>
      <c r="F132" s="42" t="s">
        <v>931</v>
      </c>
      <c r="G132" s="42">
        <v>1</v>
      </c>
      <c r="H132" s="45">
        <v>1</v>
      </c>
      <c r="I132" s="45" t="s">
        <v>39</v>
      </c>
      <c r="J132" s="49">
        <v>4</v>
      </c>
      <c r="K132" s="49"/>
      <c r="L132" s="46">
        <f t="shared" ref="L132:L139" si="14">H132*J132</f>
        <v>4</v>
      </c>
      <c r="M132" s="46">
        <v>1</v>
      </c>
      <c r="N132" s="46">
        <f t="shared" ref="N132:N139" si="15">L132+M132</f>
        <v>5</v>
      </c>
    </row>
    <row r="133" spans="1:14" ht="18.75" customHeight="1">
      <c r="A133" s="40" t="s">
        <v>932</v>
      </c>
      <c r="B133" s="40" t="s">
        <v>933</v>
      </c>
      <c r="C133" s="41"/>
      <c r="D133" s="42" t="s">
        <v>934</v>
      </c>
      <c r="E133" s="42" t="s">
        <v>935</v>
      </c>
      <c r="F133" s="42"/>
      <c r="G133" s="42">
        <v>3</v>
      </c>
      <c r="H133" s="45">
        <v>3</v>
      </c>
      <c r="I133" s="45" t="s">
        <v>81</v>
      </c>
      <c r="J133" s="49">
        <v>4</v>
      </c>
      <c r="K133" s="49"/>
      <c r="L133" s="46">
        <f t="shared" si="14"/>
        <v>12</v>
      </c>
      <c r="M133" s="46">
        <v>1</v>
      </c>
      <c r="N133" s="46">
        <f t="shared" si="15"/>
        <v>13</v>
      </c>
    </row>
    <row r="134" spans="1:14" ht="18.75" customHeight="1">
      <c r="A134" s="40" t="s">
        <v>936</v>
      </c>
      <c r="B134" s="40" t="s">
        <v>581</v>
      </c>
      <c r="C134" s="41"/>
      <c r="D134" s="42" t="s">
        <v>934</v>
      </c>
      <c r="E134" s="42"/>
      <c r="F134" s="42" t="s">
        <v>937</v>
      </c>
      <c r="G134" s="42">
        <v>3</v>
      </c>
      <c r="H134" s="45">
        <v>3</v>
      </c>
      <c r="I134" s="45" t="s">
        <v>564</v>
      </c>
      <c r="J134" s="49">
        <v>4</v>
      </c>
      <c r="K134" s="49"/>
      <c r="L134" s="46">
        <f t="shared" si="14"/>
        <v>12</v>
      </c>
      <c r="M134" s="46">
        <v>1</v>
      </c>
      <c r="N134" s="46">
        <f t="shared" si="15"/>
        <v>13</v>
      </c>
    </row>
    <row r="135" spans="1:14" ht="18.75" customHeight="1">
      <c r="A135" s="40" t="s">
        <v>938</v>
      </c>
      <c r="B135" s="40" t="s">
        <v>581</v>
      </c>
      <c r="C135" s="41"/>
      <c r="D135" s="42" t="s">
        <v>934</v>
      </c>
      <c r="E135" s="42"/>
      <c r="F135" s="42" t="s">
        <v>937</v>
      </c>
      <c r="G135" s="42">
        <v>3</v>
      </c>
      <c r="H135" s="45">
        <v>3</v>
      </c>
      <c r="I135" s="45" t="s">
        <v>81</v>
      </c>
      <c r="J135" s="49">
        <v>8</v>
      </c>
      <c r="K135" s="49"/>
      <c r="L135" s="46">
        <f t="shared" si="14"/>
        <v>24</v>
      </c>
      <c r="M135" s="46">
        <v>1</v>
      </c>
      <c r="N135" s="46">
        <f t="shared" si="15"/>
        <v>25</v>
      </c>
    </row>
    <row r="136" spans="1:14" ht="18.75" customHeight="1">
      <c r="A136" s="40" t="s">
        <v>939</v>
      </c>
      <c r="B136" s="40" t="s">
        <v>581</v>
      </c>
      <c r="C136" s="41"/>
      <c r="D136" s="42" t="s">
        <v>934</v>
      </c>
      <c r="E136" s="42"/>
      <c r="F136" s="42"/>
      <c r="G136" s="42">
        <v>2</v>
      </c>
      <c r="H136" s="45">
        <v>2</v>
      </c>
      <c r="I136" s="45" t="s">
        <v>564</v>
      </c>
      <c r="J136" s="49">
        <v>4</v>
      </c>
      <c r="K136" s="49"/>
      <c r="L136" s="46">
        <f t="shared" si="14"/>
        <v>8</v>
      </c>
      <c r="M136" s="46">
        <v>1</v>
      </c>
      <c r="N136" s="46">
        <f t="shared" si="15"/>
        <v>9</v>
      </c>
    </row>
    <row r="137" spans="1:14" ht="18.75" customHeight="1">
      <c r="A137" s="40" t="s">
        <v>940</v>
      </c>
      <c r="B137" s="40"/>
      <c r="C137" s="41"/>
      <c r="D137" s="42">
        <v>12</v>
      </c>
      <c r="E137" s="50">
        <v>1197</v>
      </c>
      <c r="F137" s="51"/>
      <c r="G137" s="42">
        <v>1</v>
      </c>
      <c r="H137" s="46">
        <f>E137*3.142*0.001</f>
        <v>3.7609739999999996</v>
      </c>
      <c r="I137" s="45" t="s">
        <v>886</v>
      </c>
      <c r="J137" s="49">
        <f>VLOOKUP(D137,BM!$A$2:$X$57,12,FALSE)</f>
        <v>2.5</v>
      </c>
      <c r="K137" s="49"/>
      <c r="L137" s="46">
        <f t="shared" si="14"/>
        <v>9.4024349999999988</v>
      </c>
      <c r="M137" s="46">
        <v>1</v>
      </c>
      <c r="N137" s="46">
        <f t="shared" si="15"/>
        <v>10.402434999999999</v>
      </c>
    </row>
    <row r="138" spans="1:14" ht="18.75" customHeight="1">
      <c r="A138" s="40" t="s">
        <v>941</v>
      </c>
      <c r="B138" s="40"/>
      <c r="C138" s="41"/>
      <c r="D138" s="42">
        <v>18</v>
      </c>
      <c r="E138" s="50">
        <v>1197</v>
      </c>
      <c r="F138" s="51"/>
      <c r="G138" s="42">
        <v>1</v>
      </c>
      <c r="H138" s="46">
        <f>E138*3.142*0.001</f>
        <v>3.7609739999999996</v>
      </c>
      <c r="I138" s="45" t="s">
        <v>886</v>
      </c>
      <c r="J138" s="49">
        <f>VLOOKUP(D138,BM!$A$2:$X$57,18,FALSE)</f>
        <v>1</v>
      </c>
      <c r="K138" s="49"/>
      <c r="L138" s="46">
        <f t="shared" si="14"/>
        <v>3.7609739999999996</v>
      </c>
      <c r="M138" s="46">
        <v>1</v>
      </c>
      <c r="N138" s="46">
        <f t="shared" si="15"/>
        <v>4.7609739999999992</v>
      </c>
    </row>
    <row r="139" spans="1:14" ht="18.75" customHeight="1">
      <c r="A139" s="40" t="s">
        <v>942</v>
      </c>
      <c r="B139" s="40"/>
      <c r="C139" s="41"/>
      <c r="D139" s="42">
        <v>8</v>
      </c>
      <c r="E139" s="50">
        <v>1197</v>
      </c>
      <c r="F139" s="51"/>
      <c r="G139" s="42">
        <v>1</v>
      </c>
      <c r="H139" s="46">
        <f>E139*3.142*0.001</f>
        <v>3.7609739999999996</v>
      </c>
      <c r="I139" s="45" t="s">
        <v>886</v>
      </c>
      <c r="J139" s="49">
        <f>VLOOKUP(D139,BM!$A$2:$X$57,12,FALSE)</f>
        <v>1.36</v>
      </c>
      <c r="K139" s="49"/>
      <c r="L139" s="46">
        <f t="shared" si="14"/>
        <v>5.1149246399999999</v>
      </c>
      <c r="M139" s="46">
        <v>1</v>
      </c>
      <c r="N139" s="46">
        <f t="shared" si="15"/>
        <v>6.1149246399999999</v>
      </c>
    </row>
    <row r="140" spans="1:14" ht="18.75" customHeight="1">
      <c r="H140" s="47"/>
      <c r="I140" s="47"/>
      <c r="J140" s="48"/>
      <c r="K140" s="48"/>
      <c r="L140" s="48"/>
      <c r="M140" s="48"/>
      <c r="N140" s="48"/>
    </row>
    <row r="141" spans="1:14" ht="18.75" customHeight="1">
      <c r="A141" s="37" t="s">
        <v>866</v>
      </c>
      <c r="B141" s="38" t="s">
        <v>867</v>
      </c>
      <c r="C141" s="38"/>
      <c r="D141" s="39" t="s">
        <v>2</v>
      </c>
      <c r="E141" s="39" t="s">
        <v>908</v>
      </c>
      <c r="F141" s="39" t="s">
        <v>909</v>
      </c>
      <c r="G141" s="39" t="s">
        <v>4</v>
      </c>
      <c r="H141" s="39" t="s">
        <v>870</v>
      </c>
      <c r="I141" s="39" t="s">
        <v>5</v>
      </c>
      <c r="J141" s="39" t="s">
        <v>871</v>
      </c>
      <c r="K141" s="39" t="s">
        <v>5</v>
      </c>
      <c r="L141" s="39" t="s">
        <v>870</v>
      </c>
      <c r="M141" s="39" t="s">
        <v>872</v>
      </c>
      <c r="N141" s="39" t="s">
        <v>873</v>
      </c>
    </row>
    <row r="142" spans="1:14" ht="18.75" customHeight="1">
      <c r="A142" s="40" t="s">
        <v>943</v>
      </c>
      <c r="B142" s="40"/>
      <c r="C142" s="41"/>
      <c r="D142" s="42">
        <v>30</v>
      </c>
      <c r="E142" s="50">
        <v>1500</v>
      </c>
      <c r="F142" s="42"/>
      <c r="G142" s="50">
        <v>2</v>
      </c>
      <c r="H142" s="45">
        <f>(E142+D142)*3.142*G142/1000</f>
        <v>9.6145200000000006</v>
      </c>
      <c r="I142" s="45" t="s">
        <v>886</v>
      </c>
      <c r="J142" s="49">
        <f>VLOOKUP(D142,BM!$A$2:$X$57,16,FALSE)</f>
        <v>1</v>
      </c>
      <c r="K142" s="49"/>
      <c r="L142" s="46">
        <f>H142*J142</f>
        <v>9.6145200000000006</v>
      </c>
      <c r="M142" s="46">
        <v>1</v>
      </c>
      <c r="N142" s="46">
        <f>L142+M142</f>
        <v>10.614520000000001</v>
      </c>
    </row>
    <row r="143" spans="1:14" ht="18.75" customHeight="1">
      <c r="A143" s="40" t="s">
        <v>944</v>
      </c>
      <c r="B143" s="40"/>
      <c r="C143" s="41"/>
      <c r="D143" s="42">
        <v>20</v>
      </c>
      <c r="E143" s="50">
        <v>1500</v>
      </c>
      <c r="F143" s="42"/>
      <c r="G143" s="50">
        <v>2</v>
      </c>
      <c r="H143" s="45">
        <f>E143*3.142*2*G143/1000</f>
        <v>18.852</v>
      </c>
      <c r="I143" s="45" t="s">
        <v>886</v>
      </c>
      <c r="J143" s="49">
        <f>VLOOKUP(D143,BM!$A$2:$X$57,22,FALSE)</f>
        <v>4</v>
      </c>
      <c r="K143" s="49"/>
      <c r="L143" s="46">
        <f>H143*J143</f>
        <v>75.408000000000001</v>
      </c>
      <c r="M143" s="46">
        <v>1</v>
      </c>
      <c r="N143" s="46">
        <f>L143+M143</f>
        <v>76.408000000000001</v>
      </c>
    </row>
    <row r="144" spans="1:14" ht="18.75" customHeight="1">
      <c r="A144" s="40" t="s">
        <v>945</v>
      </c>
      <c r="B144" s="40"/>
      <c r="C144" s="41" t="s">
        <v>933</v>
      </c>
      <c r="D144" s="42"/>
      <c r="E144" s="42"/>
      <c r="F144" s="42"/>
      <c r="G144" s="42">
        <v>2</v>
      </c>
      <c r="H144" s="45">
        <v>2</v>
      </c>
      <c r="I144" s="45" t="s">
        <v>81</v>
      </c>
      <c r="J144" s="49">
        <v>4</v>
      </c>
      <c r="K144" s="49"/>
      <c r="L144" s="46">
        <f>H144*J144</f>
        <v>8</v>
      </c>
      <c r="M144" s="46">
        <v>1</v>
      </c>
      <c r="N144" s="46">
        <f>L144+M144</f>
        <v>9</v>
      </c>
    </row>
    <row r="145" spans="1:14" ht="18.75" customHeight="1">
      <c r="A145" s="40" t="s">
        <v>946</v>
      </c>
      <c r="B145" s="40"/>
      <c r="C145" s="41"/>
      <c r="D145" s="50">
        <v>20</v>
      </c>
      <c r="E145" s="42"/>
      <c r="F145" s="42"/>
      <c r="G145" s="42"/>
      <c r="H145" s="45">
        <v>11.6</v>
      </c>
      <c r="I145" s="45" t="s">
        <v>886</v>
      </c>
      <c r="J145" s="49">
        <f>VLOOKUP(D145,BM!$A$2:$X$57,22,FALSE)</f>
        <v>4</v>
      </c>
      <c r="K145" s="49"/>
      <c r="L145" s="46">
        <f>H145*J145</f>
        <v>46.4</v>
      </c>
      <c r="M145" s="46">
        <v>1</v>
      </c>
      <c r="N145" s="46">
        <f>L145+M145</f>
        <v>47.4</v>
      </c>
    </row>
    <row r="146" spans="1:14" ht="18.75" customHeight="1">
      <c r="H146" s="47"/>
      <c r="I146" s="47"/>
      <c r="J146" s="54"/>
      <c r="K146" s="54"/>
      <c r="L146" s="48"/>
      <c r="M146" s="48"/>
      <c r="N146" s="48"/>
    </row>
    <row r="147" spans="1:14" ht="18.75" customHeight="1">
      <c r="A147" s="40" t="s">
        <v>947</v>
      </c>
      <c r="B147" s="40"/>
      <c r="C147" s="41"/>
      <c r="D147" s="42"/>
      <c r="E147" s="42"/>
      <c r="F147" s="42"/>
      <c r="G147" s="42"/>
      <c r="H147" s="45">
        <v>2</v>
      </c>
      <c r="I147" s="45" t="s">
        <v>81</v>
      </c>
      <c r="J147" s="49">
        <v>2</v>
      </c>
      <c r="K147" s="49"/>
      <c r="L147" s="46">
        <f>H147*J147</f>
        <v>4</v>
      </c>
      <c r="M147" s="46">
        <v>1</v>
      </c>
      <c r="N147" s="46">
        <f>L147+M147</f>
        <v>5</v>
      </c>
    </row>
    <row r="148" spans="1:14" ht="18.75" customHeight="1">
      <c r="A148" s="40" t="s">
        <v>948</v>
      </c>
      <c r="B148" s="40"/>
      <c r="C148" s="41"/>
      <c r="D148" s="42">
        <v>12</v>
      </c>
      <c r="E148" s="42"/>
      <c r="F148" s="42"/>
      <c r="G148" s="42"/>
      <c r="H148" s="45">
        <v>3</v>
      </c>
      <c r="I148" s="45" t="s">
        <v>886</v>
      </c>
      <c r="J148" s="49">
        <f>VLOOKUP(D148,BM!$A$2:$X$57,22,FALSE)</f>
        <v>1.6</v>
      </c>
      <c r="K148" s="49"/>
      <c r="L148" s="46">
        <f>H148*J148</f>
        <v>4.8000000000000007</v>
      </c>
      <c r="M148" s="46">
        <v>1</v>
      </c>
      <c r="N148" s="46">
        <f>L148+M148</f>
        <v>5.8000000000000007</v>
      </c>
    </row>
    <row r="149" spans="1:14" ht="18.75" customHeight="1">
      <c r="H149" s="47"/>
      <c r="I149" s="47"/>
      <c r="J149" s="54"/>
      <c r="K149" s="54"/>
      <c r="L149" s="48"/>
      <c r="M149" s="48"/>
      <c r="N149" s="48"/>
    </row>
    <row r="150" spans="1:14" ht="18.75" customHeight="1">
      <c r="H150" s="47"/>
      <c r="I150" s="47"/>
      <c r="J150" s="48"/>
      <c r="K150" s="48"/>
      <c r="L150" s="48"/>
      <c r="M150" s="48"/>
      <c r="N150" s="48"/>
    </row>
    <row r="151" spans="1:14" ht="18.75" customHeight="1">
      <c r="A151" s="37" t="s">
        <v>866</v>
      </c>
      <c r="B151" s="38" t="s">
        <v>867</v>
      </c>
      <c r="C151" s="38"/>
      <c r="D151" s="39" t="s">
        <v>2</v>
      </c>
      <c r="E151" s="39" t="s">
        <v>908</v>
      </c>
      <c r="F151" s="39" t="s">
        <v>909</v>
      </c>
      <c r="G151" s="39" t="s">
        <v>4</v>
      </c>
      <c r="H151" s="39" t="s">
        <v>870</v>
      </c>
      <c r="I151" s="39" t="s">
        <v>5</v>
      </c>
      <c r="J151" s="39" t="s">
        <v>871</v>
      </c>
      <c r="K151" s="39" t="s">
        <v>5</v>
      </c>
      <c r="L151" s="39" t="s">
        <v>870</v>
      </c>
      <c r="M151" s="39" t="s">
        <v>872</v>
      </c>
      <c r="N151" s="39" t="s">
        <v>873</v>
      </c>
    </row>
    <row r="152" spans="1:14" ht="18.75" customHeight="1">
      <c r="A152" s="40" t="s">
        <v>949</v>
      </c>
      <c r="B152" s="40" t="s">
        <v>875</v>
      </c>
      <c r="C152" s="41"/>
      <c r="D152" s="42">
        <v>24</v>
      </c>
      <c r="E152" s="50">
        <v>1700</v>
      </c>
      <c r="F152" s="42"/>
      <c r="G152" s="42">
        <v>1</v>
      </c>
      <c r="H152" s="45">
        <f>E152*1.25/1000</f>
        <v>2.125</v>
      </c>
      <c r="I152" s="45" t="s">
        <v>886</v>
      </c>
      <c r="J152" s="49">
        <f>VLOOKUP(D152,BM!$A$2:$X$57,2,FALSE)</f>
        <v>0.1</v>
      </c>
      <c r="K152" s="49"/>
      <c r="L152" s="46">
        <f>H152*J152</f>
        <v>0.21250000000000002</v>
      </c>
      <c r="M152" s="46">
        <v>1</v>
      </c>
      <c r="N152" s="46">
        <f t="shared" ref="N152:N154" si="16">L152+M152</f>
        <v>1.2124999999999999</v>
      </c>
    </row>
    <row r="153" spans="1:14" ht="18.75" customHeight="1">
      <c r="A153" s="40" t="s">
        <v>950</v>
      </c>
      <c r="B153" s="40" t="s">
        <v>875</v>
      </c>
      <c r="C153" s="41"/>
      <c r="D153" s="42">
        <v>30</v>
      </c>
      <c r="E153" s="50">
        <v>1700</v>
      </c>
      <c r="F153" s="42"/>
      <c r="G153" s="42">
        <v>1</v>
      </c>
      <c r="H153" s="45">
        <f>E153*1.25/1000</f>
        <v>2.125</v>
      </c>
      <c r="I153" s="45" t="s">
        <v>886</v>
      </c>
      <c r="J153" s="49">
        <f>VLOOKUP(D153,BM!$A$2:$X$57,3,FALSE)</f>
        <v>0.25</v>
      </c>
      <c r="K153" s="49"/>
      <c r="L153" s="46">
        <f>H153*J153</f>
        <v>0.53125</v>
      </c>
      <c r="M153" s="46">
        <v>1</v>
      </c>
      <c r="N153" s="46">
        <f t="shared" si="16"/>
        <v>1.53125</v>
      </c>
    </row>
    <row r="154" spans="1:14" ht="18.75" customHeight="1">
      <c r="A154" s="40" t="s">
        <v>951</v>
      </c>
      <c r="B154" s="40" t="s">
        <v>875</v>
      </c>
      <c r="C154" s="41"/>
      <c r="D154" s="50">
        <v>20</v>
      </c>
      <c r="E154" s="50">
        <v>1700</v>
      </c>
      <c r="F154" s="42"/>
      <c r="G154" s="42">
        <v>1</v>
      </c>
      <c r="H154" s="45">
        <f>E154*1.25/1000</f>
        <v>2.125</v>
      </c>
      <c r="I154" s="45" t="s">
        <v>886</v>
      </c>
      <c r="J154" s="49">
        <f>VLOOKUP(D154,BM!$A$2:$X$57,4,FALSE)</f>
        <v>0.15</v>
      </c>
      <c r="K154" s="49"/>
      <c r="L154" s="46">
        <f>H154*J154</f>
        <v>0.31874999999999998</v>
      </c>
      <c r="M154" s="46">
        <v>1</v>
      </c>
      <c r="N154" s="46">
        <f t="shared" si="16"/>
        <v>1.3187500000000001</v>
      </c>
    </row>
    <row r="155" spans="1:14" ht="18.75" customHeight="1">
      <c r="A155" s="40" t="s">
        <v>952</v>
      </c>
      <c r="B155" s="40" t="s">
        <v>875</v>
      </c>
      <c r="C155" s="41"/>
      <c r="D155" s="42">
        <v>20</v>
      </c>
      <c r="E155" s="50">
        <v>1640</v>
      </c>
      <c r="F155" s="50">
        <v>425</v>
      </c>
      <c r="G155" s="42">
        <v>1</v>
      </c>
      <c r="H155" s="45">
        <f>(E155*2*0.001+F155*2*0.001)*G155</f>
        <v>4.13</v>
      </c>
      <c r="I155" s="45" t="s">
        <v>886</v>
      </c>
      <c r="J155" s="49">
        <f>VLOOKUP(D155,BM!$A$2:$X$57,2,FALSE)</f>
        <v>0.1</v>
      </c>
      <c r="K155" s="49"/>
      <c r="L155" s="46">
        <f t="shared" ref="L155:L188" si="17">H155*J155</f>
        <v>0.41300000000000003</v>
      </c>
      <c r="M155" s="46">
        <v>1</v>
      </c>
      <c r="N155" s="46">
        <f t="shared" ref="N155:N188" si="18">L155+M155</f>
        <v>1.413</v>
      </c>
    </row>
    <row r="156" spans="1:14" ht="18.75" customHeight="1">
      <c r="A156" s="40" t="s">
        <v>953</v>
      </c>
      <c r="B156" s="40" t="s">
        <v>875</v>
      </c>
      <c r="C156" s="41"/>
      <c r="D156" s="42">
        <v>24</v>
      </c>
      <c r="E156" s="50">
        <v>1640</v>
      </c>
      <c r="F156" s="50">
        <v>425</v>
      </c>
      <c r="G156" s="42">
        <v>1</v>
      </c>
      <c r="H156" s="45">
        <f>(E156+D156)*3.142*2*0.001+F156*2*0.001</f>
        <v>11.306576</v>
      </c>
      <c r="I156" s="45" t="s">
        <v>886</v>
      </c>
      <c r="J156" s="49">
        <f>VLOOKUP(D156,BM!$A$2:$X$57,3,FALSE)</f>
        <v>0.25</v>
      </c>
      <c r="K156" s="49"/>
      <c r="L156" s="46">
        <f t="shared" si="17"/>
        <v>2.8266439999999999</v>
      </c>
      <c r="M156" s="46">
        <v>1</v>
      </c>
      <c r="N156" s="46">
        <f t="shared" si="18"/>
        <v>3.8266439999999999</v>
      </c>
    </row>
    <row r="157" spans="1:14" ht="18.75" customHeight="1">
      <c r="A157" s="40" t="s">
        <v>954</v>
      </c>
      <c r="B157" s="40" t="s">
        <v>875</v>
      </c>
      <c r="C157" s="41"/>
      <c r="D157" s="50">
        <v>24</v>
      </c>
      <c r="E157" s="50">
        <v>1640</v>
      </c>
      <c r="F157" s="50">
        <v>425</v>
      </c>
      <c r="G157" s="42">
        <v>1</v>
      </c>
      <c r="H157" s="45">
        <f>(E157+D157)*3.142*2*0.001+F157*2*0.001</f>
        <v>11.306576</v>
      </c>
      <c r="I157" s="45" t="s">
        <v>886</v>
      </c>
      <c r="J157" s="49">
        <f>VLOOKUP(D157,BM!$A$2:$X$57,4,FALSE)</f>
        <v>0.15</v>
      </c>
      <c r="K157" s="49"/>
      <c r="L157" s="46">
        <f t="shared" si="17"/>
        <v>1.6959864</v>
      </c>
      <c r="M157" s="46">
        <v>1</v>
      </c>
      <c r="N157" s="46">
        <f t="shared" si="18"/>
        <v>2.6959863999999998</v>
      </c>
    </row>
    <row r="158" spans="1:14" ht="18.75" customHeight="1">
      <c r="A158" s="40" t="s">
        <v>955</v>
      </c>
      <c r="B158" s="40" t="s">
        <v>875</v>
      </c>
      <c r="C158" s="41"/>
      <c r="D158" s="50">
        <v>24</v>
      </c>
      <c r="E158" s="50">
        <v>1640</v>
      </c>
      <c r="F158" s="50">
        <v>425</v>
      </c>
      <c r="G158" s="42">
        <v>1</v>
      </c>
      <c r="H158" s="45">
        <f>(E158+D158)*3.142*2*0.001+F158*2*0.001</f>
        <v>11.306576</v>
      </c>
      <c r="I158" s="45" t="s">
        <v>876</v>
      </c>
      <c r="J158" s="49">
        <f>VLOOKUP(D158,BM!$A$2:$X$57,5,FALSE)</f>
        <v>0.5</v>
      </c>
      <c r="K158" s="49"/>
      <c r="L158" s="46">
        <f t="shared" si="17"/>
        <v>5.6532879999999999</v>
      </c>
      <c r="M158" s="46">
        <v>1</v>
      </c>
      <c r="N158" s="46">
        <f t="shared" si="18"/>
        <v>6.6532879999999999</v>
      </c>
    </row>
    <row r="159" spans="1:14" ht="18.75" customHeight="1">
      <c r="A159" s="40" t="s">
        <v>956</v>
      </c>
      <c r="B159" s="40" t="s">
        <v>875</v>
      </c>
      <c r="C159" s="41"/>
      <c r="D159" s="50">
        <v>20</v>
      </c>
      <c r="E159" s="50">
        <v>1700</v>
      </c>
      <c r="F159" s="42"/>
      <c r="G159" s="42">
        <v>1</v>
      </c>
      <c r="H159" s="45">
        <f>E159*1.25/1000</f>
        <v>2.125</v>
      </c>
      <c r="I159" s="45" t="s">
        <v>876</v>
      </c>
      <c r="J159" s="49">
        <f>VLOOKUP(D159,BM!$A$2:$X$57,6,FALSE)</f>
        <v>1</v>
      </c>
      <c r="K159" s="49"/>
      <c r="L159" s="46">
        <f t="shared" si="17"/>
        <v>2.125</v>
      </c>
      <c r="M159" s="46">
        <v>1</v>
      </c>
      <c r="N159" s="46">
        <f t="shared" si="18"/>
        <v>3.125</v>
      </c>
    </row>
    <row r="160" spans="1:14" ht="18.75" customHeight="1">
      <c r="H160" s="47"/>
      <c r="I160" s="47"/>
      <c r="J160" s="48"/>
      <c r="K160" s="48"/>
      <c r="L160" s="48"/>
      <c r="M160" s="48"/>
      <c r="N160" s="48"/>
    </row>
    <row r="161" spans="1:14" ht="18.75" customHeight="1">
      <c r="A161" s="37" t="s">
        <v>866</v>
      </c>
      <c r="B161" s="38" t="s">
        <v>867</v>
      </c>
      <c r="C161" s="38"/>
      <c r="D161" s="39" t="s">
        <v>2</v>
      </c>
      <c r="E161" s="39" t="s">
        <v>908</v>
      </c>
      <c r="F161" s="39" t="s">
        <v>909</v>
      </c>
      <c r="G161" s="39" t="s">
        <v>4</v>
      </c>
      <c r="H161" s="39" t="s">
        <v>870</v>
      </c>
      <c r="I161" s="39" t="s">
        <v>5</v>
      </c>
      <c r="J161" s="39" t="s">
        <v>871</v>
      </c>
      <c r="K161" s="39" t="s">
        <v>5</v>
      </c>
      <c r="L161" s="39" t="s">
        <v>870</v>
      </c>
      <c r="M161" s="39" t="s">
        <v>872</v>
      </c>
      <c r="N161" s="39" t="s">
        <v>873</v>
      </c>
    </row>
    <row r="162" spans="1:14" ht="18.75" customHeight="1">
      <c r="A162" s="40" t="s">
        <v>957</v>
      </c>
      <c r="B162" s="40" t="s">
        <v>875</v>
      </c>
      <c r="C162" s="40" t="s">
        <v>581</v>
      </c>
      <c r="D162" s="41">
        <v>24</v>
      </c>
      <c r="E162" s="50" t="s">
        <v>958</v>
      </c>
      <c r="F162" s="50" t="s">
        <v>959</v>
      </c>
      <c r="G162" s="42">
        <v>1</v>
      </c>
      <c r="H162" s="42">
        <v>1</v>
      </c>
      <c r="I162" s="45"/>
      <c r="J162" s="45">
        <f>VLOOKUP(D162,BM!$A$2:$X$57,7,FALSE)</f>
        <v>2</v>
      </c>
      <c r="K162" s="45"/>
      <c r="L162" s="49">
        <f t="shared" si="17"/>
        <v>2</v>
      </c>
      <c r="M162" s="46">
        <v>1</v>
      </c>
      <c r="N162" s="46">
        <f t="shared" si="18"/>
        <v>3</v>
      </c>
    </row>
    <row r="163" spans="1:14" ht="18.75" customHeight="1">
      <c r="A163" s="40" t="s">
        <v>960</v>
      </c>
      <c r="B163" s="40" t="s">
        <v>875</v>
      </c>
      <c r="C163" s="40"/>
      <c r="D163" s="41">
        <v>24</v>
      </c>
      <c r="E163" s="50" t="str">
        <f>E162</f>
        <v>1640 ID</v>
      </c>
      <c r="F163" s="50">
        <v>425</v>
      </c>
      <c r="G163" s="42">
        <v>1</v>
      </c>
      <c r="H163" s="42">
        <f>F163*0.001*G163</f>
        <v>0.42499999999999999</v>
      </c>
      <c r="I163" s="45"/>
      <c r="J163" s="45">
        <f>VLOOKUP(D163,BM!$A$2:$X$57,8,FALSE)</f>
        <v>0.5</v>
      </c>
      <c r="K163" s="45"/>
      <c r="L163" s="49">
        <f t="shared" si="17"/>
        <v>0.21249999999999999</v>
      </c>
      <c r="M163" s="46">
        <v>1</v>
      </c>
      <c r="N163" s="46">
        <f t="shared" si="18"/>
        <v>1.2124999999999999</v>
      </c>
    </row>
    <row r="164" spans="1:14" ht="18.75" customHeight="1">
      <c r="A164" s="40" t="s">
        <v>961</v>
      </c>
      <c r="B164" s="40" t="s">
        <v>875</v>
      </c>
      <c r="C164" s="40"/>
      <c r="D164" s="41">
        <v>24</v>
      </c>
      <c r="E164" s="50" t="str">
        <f t="shared" ref="E164:E165" si="19">E163</f>
        <v>1640 ID</v>
      </c>
      <c r="F164" s="52">
        <v>425</v>
      </c>
      <c r="G164" s="42">
        <v>1</v>
      </c>
      <c r="H164" s="42">
        <f>F164*0.001*G164</f>
        <v>0.42499999999999999</v>
      </c>
      <c r="I164" s="45"/>
      <c r="J164" s="45">
        <f>VLOOKUP(D164,BM!$A$2:$X$57,9,FALSE)</f>
        <v>1</v>
      </c>
      <c r="K164" s="45"/>
      <c r="L164" s="49">
        <f t="shared" si="17"/>
        <v>0.42499999999999999</v>
      </c>
      <c r="M164" s="46">
        <v>1</v>
      </c>
      <c r="N164" s="46">
        <f t="shared" si="18"/>
        <v>1.425</v>
      </c>
    </row>
    <row r="165" spans="1:14" ht="18.75" customHeight="1">
      <c r="A165" s="40" t="s">
        <v>962</v>
      </c>
      <c r="B165" s="40" t="s">
        <v>875</v>
      </c>
      <c r="C165" s="40" t="s">
        <v>581</v>
      </c>
      <c r="D165" s="41">
        <v>24</v>
      </c>
      <c r="E165" s="50" t="str">
        <f t="shared" si="19"/>
        <v>1640 ID</v>
      </c>
      <c r="F165" s="52" t="s">
        <v>963</v>
      </c>
      <c r="G165" s="42">
        <v>1</v>
      </c>
      <c r="H165" s="42">
        <v>1</v>
      </c>
      <c r="I165" s="45"/>
      <c r="J165" s="45">
        <v>2</v>
      </c>
      <c r="K165" s="45"/>
      <c r="L165" s="49">
        <f t="shared" si="17"/>
        <v>2</v>
      </c>
      <c r="M165" s="46">
        <v>1</v>
      </c>
      <c r="N165" s="46">
        <f t="shared" si="18"/>
        <v>3</v>
      </c>
    </row>
    <row r="166" spans="1:14" ht="18.75" customHeight="1">
      <c r="H166" s="47"/>
      <c r="I166" s="47"/>
      <c r="J166" s="48"/>
      <c r="K166" s="48"/>
      <c r="L166" s="48"/>
      <c r="M166" s="48"/>
      <c r="N166" s="48"/>
    </row>
    <row r="167" spans="1:14" ht="18.75" customHeight="1">
      <c r="A167" s="37" t="s">
        <v>866</v>
      </c>
      <c r="B167" s="38" t="s">
        <v>867</v>
      </c>
      <c r="C167" s="38"/>
      <c r="D167" s="39" t="s">
        <v>2</v>
      </c>
      <c r="E167" s="39" t="s">
        <v>908</v>
      </c>
      <c r="F167" s="39" t="s">
        <v>909</v>
      </c>
      <c r="G167" s="39" t="s">
        <v>4</v>
      </c>
      <c r="H167" s="39" t="s">
        <v>870</v>
      </c>
      <c r="I167" s="39" t="s">
        <v>5</v>
      </c>
      <c r="J167" s="39" t="s">
        <v>871</v>
      </c>
      <c r="K167" s="39" t="s">
        <v>5</v>
      </c>
      <c r="L167" s="39" t="s">
        <v>870</v>
      </c>
      <c r="M167" s="39" t="s">
        <v>872</v>
      </c>
      <c r="N167" s="39" t="s">
        <v>873</v>
      </c>
    </row>
    <row r="168" spans="1:14" ht="18.75" customHeight="1">
      <c r="A168" s="40" t="s">
        <v>964</v>
      </c>
      <c r="B168" s="40" t="s">
        <v>875</v>
      </c>
      <c r="C168" s="40" t="s">
        <v>581</v>
      </c>
      <c r="D168" s="41">
        <v>24</v>
      </c>
      <c r="E168" s="42">
        <f t="shared" ref="E168:E176" si="20">1640</f>
        <v>1640</v>
      </c>
      <c r="F168" s="52">
        <v>512</v>
      </c>
      <c r="G168" s="42">
        <v>1</v>
      </c>
      <c r="H168" s="42">
        <f>F168/1000*G168</f>
        <v>0.51200000000000001</v>
      </c>
      <c r="I168" s="45" t="s">
        <v>886</v>
      </c>
      <c r="J168" s="45">
        <f>VLOOKUP(D168,BM!$A$2:$X$57,6,FALSE)</f>
        <v>1</v>
      </c>
      <c r="K168" s="45"/>
      <c r="L168" s="49">
        <f t="shared" si="17"/>
        <v>0.51200000000000001</v>
      </c>
      <c r="M168" s="46">
        <v>1</v>
      </c>
      <c r="N168" s="46">
        <f t="shared" si="18"/>
        <v>1.512</v>
      </c>
    </row>
    <row r="169" spans="1:14" ht="18.75" customHeight="1">
      <c r="A169" s="40" t="s">
        <v>965</v>
      </c>
      <c r="B169" s="40" t="s">
        <v>875</v>
      </c>
      <c r="C169" s="40"/>
      <c r="D169" s="41">
        <v>24</v>
      </c>
      <c r="E169" s="42">
        <f t="shared" si="20"/>
        <v>1640</v>
      </c>
      <c r="F169" s="52">
        <v>512</v>
      </c>
      <c r="G169" s="42">
        <v>1</v>
      </c>
      <c r="H169" s="42">
        <f>F169/1000*G169</f>
        <v>0.51200000000000001</v>
      </c>
      <c r="I169" s="45" t="s">
        <v>886</v>
      </c>
      <c r="J169" s="45">
        <f>VLOOKUP(D169,BM!$A$2:$X$57,10,FALSE)</f>
        <v>1</v>
      </c>
      <c r="K169" s="45"/>
      <c r="L169" s="49">
        <f t="shared" si="17"/>
        <v>0.51200000000000001</v>
      </c>
      <c r="M169" s="46">
        <v>1</v>
      </c>
      <c r="N169" s="46">
        <f t="shared" si="18"/>
        <v>1.512</v>
      </c>
    </row>
    <row r="170" spans="1:14" ht="18.75" customHeight="1">
      <c r="A170" s="40" t="s">
        <v>966</v>
      </c>
      <c r="B170" s="40" t="s">
        <v>875</v>
      </c>
      <c r="C170" s="40" t="s">
        <v>581</v>
      </c>
      <c r="D170" s="41">
        <v>24</v>
      </c>
      <c r="E170" s="42">
        <f t="shared" si="20"/>
        <v>1640</v>
      </c>
      <c r="F170" s="52">
        <v>512</v>
      </c>
      <c r="G170" s="42">
        <v>1</v>
      </c>
      <c r="H170" s="42">
        <f>F170/1000*G170</f>
        <v>0.51200000000000001</v>
      </c>
      <c r="I170" s="45" t="s">
        <v>886</v>
      </c>
      <c r="J170" s="45">
        <v>2</v>
      </c>
      <c r="K170" s="45"/>
      <c r="L170" s="49">
        <f t="shared" si="17"/>
        <v>1.024</v>
      </c>
      <c r="M170" s="46">
        <v>1</v>
      </c>
      <c r="N170" s="46">
        <f t="shared" si="18"/>
        <v>2.024</v>
      </c>
    </row>
    <row r="171" spans="1:14" ht="18.75" customHeight="1">
      <c r="A171" s="40" t="s">
        <v>967</v>
      </c>
      <c r="B171" s="40" t="s">
        <v>875</v>
      </c>
      <c r="C171" s="40"/>
      <c r="D171" s="41">
        <v>16</v>
      </c>
      <c r="E171" s="42">
        <f t="shared" si="20"/>
        <v>1640</v>
      </c>
      <c r="F171" s="52">
        <v>512</v>
      </c>
      <c r="G171" s="42">
        <v>1</v>
      </c>
      <c r="H171" s="42">
        <f>F171/1000*G171</f>
        <v>0.51200000000000001</v>
      </c>
      <c r="I171" s="45" t="s">
        <v>886</v>
      </c>
      <c r="J171" s="45">
        <f>VLOOKUP(D171,BM!$A$2:$X$57,12,FALSE)</f>
        <v>4.0199999999999996</v>
      </c>
      <c r="K171" s="45"/>
      <c r="L171" s="49">
        <f t="shared" si="17"/>
        <v>2.0582399999999996</v>
      </c>
      <c r="M171" s="46">
        <v>1</v>
      </c>
      <c r="N171" s="46">
        <f t="shared" si="18"/>
        <v>3.0582399999999996</v>
      </c>
    </row>
    <row r="172" spans="1:14" ht="18.75" customHeight="1">
      <c r="A172" s="40" t="s">
        <v>968</v>
      </c>
      <c r="B172" s="40" t="s">
        <v>875</v>
      </c>
      <c r="C172" s="40"/>
      <c r="D172" s="41">
        <v>16</v>
      </c>
      <c r="E172" s="42">
        <f t="shared" si="20"/>
        <v>1640</v>
      </c>
      <c r="F172" s="52">
        <v>512</v>
      </c>
      <c r="G172" s="42">
        <v>1</v>
      </c>
      <c r="H172" s="42">
        <f>F172/1000*G172</f>
        <v>0.51200000000000001</v>
      </c>
      <c r="I172" s="45" t="s">
        <v>886</v>
      </c>
      <c r="J172" s="45">
        <f>VLOOKUP(D172,BM!$A$2:$X$57,18,FALSE)</f>
        <v>1</v>
      </c>
      <c r="K172" s="45"/>
      <c r="L172" s="49">
        <f t="shared" si="17"/>
        <v>0.51200000000000001</v>
      </c>
      <c r="M172" s="46">
        <v>1</v>
      </c>
      <c r="N172" s="46">
        <f t="shared" si="18"/>
        <v>1.512</v>
      </c>
    </row>
    <row r="173" spans="1:14" ht="18.75" customHeight="1">
      <c r="A173" s="40" t="s">
        <v>969</v>
      </c>
      <c r="B173" s="40" t="s">
        <v>875</v>
      </c>
      <c r="C173" s="40"/>
      <c r="D173" s="41">
        <v>12</v>
      </c>
      <c r="E173" s="42">
        <f t="shared" si="20"/>
        <v>1640</v>
      </c>
      <c r="F173" s="52">
        <v>512</v>
      </c>
      <c r="G173" s="42">
        <v>1</v>
      </c>
      <c r="H173" s="42">
        <f>F172/1000*G173</f>
        <v>0.51200000000000001</v>
      </c>
      <c r="I173" s="45" t="s">
        <v>886</v>
      </c>
      <c r="J173" s="45">
        <f>VLOOKUP(D173,BM!$A$2:$X$57,12,FALSE)</f>
        <v>2.5</v>
      </c>
      <c r="K173" s="45"/>
      <c r="L173" s="49">
        <f t="shared" si="17"/>
        <v>1.28</v>
      </c>
      <c r="M173" s="46">
        <v>1</v>
      </c>
      <c r="N173" s="46">
        <f t="shared" si="18"/>
        <v>2.2800000000000002</v>
      </c>
    </row>
    <row r="174" spans="1:14" ht="18.75" customHeight="1">
      <c r="A174" s="40" t="s">
        <v>970</v>
      </c>
      <c r="B174" s="40" t="s">
        <v>875</v>
      </c>
      <c r="C174" s="40"/>
      <c r="D174" s="41">
        <v>12</v>
      </c>
      <c r="E174" s="42">
        <f t="shared" si="20"/>
        <v>1640</v>
      </c>
      <c r="F174" s="52">
        <v>512</v>
      </c>
      <c r="G174" s="42">
        <v>1</v>
      </c>
      <c r="H174" s="42">
        <f>F173/1000*G174</f>
        <v>0.51200000000000001</v>
      </c>
      <c r="I174" s="45" t="s">
        <v>886</v>
      </c>
      <c r="J174" s="45">
        <f>VLOOKUP(D174,BM!$A$2:$X$57,20,FALSE)</f>
        <v>0.5</v>
      </c>
      <c r="K174" s="45"/>
      <c r="L174" s="49">
        <f t="shared" si="17"/>
        <v>0.25600000000000001</v>
      </c>
      <c r="M174" s="46">
        <v>1</v>
      </c>
      <c r="N174" s="46">
        <f t="shared" si="18"/>
        <v>1.256</v>
      </c>
    </row>
    <row r="175" spans="1:14" ht="18.75" customHeight="1">
      <c r="A175" s="40" t="s">
        <v>971</v>
      </c>
      <c r="B175" s="40" t="s">
        <v>875</v>
      </c>
      <c r="C175" s="40" t="s">
        <v>581</v>
      </c>
      <c r="D175" s="41">
        <v>12</v>
      </c>
      <c r="E175" s="42">
        <f t="shared" si="20"/>
        <v>1640</v>
      </c>
      <c r="F175" s="42">
        <v>512</v>
      </c>
      <c r="G175" s="42">
        <v>1</v>
      </c>
      <c r="H175" s="42">
        <v>1</v>
      </c>
      <c r="I175" s="45" t="s">
        <v>39</v>
      </c>
      <c r="J175" s="45"/>
      <c r="K175" s="45"/>
      <c r="L175" s="49"/>
      <c r="M175" s="46"/>
      <c r="N175" s="46" t="s">
        <v>902</v>
      </c>
    </row>
    <row r="176" spans="1:14" ht="18.75" customHeight="1">
      <c r="A176" s="40" t="s">
        <v>972</v>
      </c>
      <c r="B176" s="40" t="s">
        <v>875</v>
      </c>
      <c r="C176" s="40" t="s">
        <v>581</v>
      </c>
      <c r="D176" s="41">
        <v>12</v>
      </c>
      <c r="E176" s="42">
        <f t="shared" si="20"/>
        <v>1640</v>
      </c>
      <c r="F176" s="42">
        <v>512</v>
      </c>
      <c r="G176" s="42">
        <v>1</v>
      </c>
      <c r="H176" s="42">
        <v>1</v>
      </c>
      <c r="I176" s="45" t="s">
        <v>39</v>
      </c>
      <c r="J176" s="45"/>
      <c r="K176" s="45"/>
      <c r="L176" s="49"/>
      <c r="M176" s="46"/>
      <c r="N176" s="46" t="s">
        <v>902</v>
      </c>
    </row>
    <row r="177" spans="1:14" ht="18.75" customHeight="1">
      <c r="C177" s="35"/>
      <c r="D177" s="36"/>
      <c r="I177" s="47"/>
      <c r="J177" s="47"/>
      <c r="K177" s="47"/>
      <c r="M177" s="48"/>
      <c r="N177" s="48"/>
    </row>
    <row r="178" spans="1:14" ht="18.75" customHeight="1">
      <c r="A178" s="37" t="s">
        <v>866</v>
      </c>
      <c r="B178" s="38" t="s">
        <v>867</v>
      </c>
      <c r="C178" s="38"/>
      <c r="D178" s="39" t="s">
        <v>2</v>
      </c>
      <c r="E178" s="39" t="s">
        <v>908</v>
      </c>
      <c r="F178" s="39" t="s">
        <v>909</v>
      </c>
      <c r="G178" s="39" t="s">
        <v>4</v>
      </c>
      <c r="H178" s="39" t="s">
        <v>870</v>
      </c>
      <c r="I178" s="39" t="s">
        <v>5</v>
      </c>
      <c r="J178" s="39" t="s">
        <v>871</v>
      </c>
      <c r="K178" s="39" t="s">
        <v>5</v>
      </c>
      <c r="L178" s="39" t="s">
        <v>870</v>
      </c>
      <c r="M178" s="39" t="s">
        <v>872</v>
      </c>
      <c r="N178" s="39" t="s">
        <v>873</v>
      </c>
    </row>
    <row r="179" spans="1:14" ht="18.75" customHeight="1">
      <c r="A179" s="40" t="s">
        <v>973</v>
      </c>
      <c r="B179" s="40" t="s">
        <v>875</v>
      </c>
      <c r="C179" s="40" t="s">
        <v>581</v>
      </c>
      <c r="D179" s="41">
        <v>20</v>
      </c>
      <c r="E179" s="50">
        <v>1640</v>
      </c>
      <c r="F179" s="53">
        <v>512</v>
      </c>
      <c r="G179" s="42">
        <v>1</v>
      </c>
      <c r="H179" s="42">
        <v>1</v>
      </c>
      <c r="I179" s="45" t="s">
        <v>39</v>
      </c>
      <c r="J179" s="45">
        <f>VLOOKUP(D179,BM!$A$2:$X$57,13,FALSE)</f>
        <v>1</v>
      </c>
      <c r="K179" s="45"/>
      <c r="L179" s="49">
        <f t="shared" si="17"/>
        <v>1</v>
      </c>
      <c r="M179" s="46">
        <v>1</v>
      </c>
      <c r="N179" s="46">
        <f t="shared" si="18"/>
        <v>2</v>
      </c>
    </row>
    <row r="180" spans="1:14" ht="18.75" customHeight="1">
      <c r="A180" s="40" t="s">
        <v>974</v>
      </c>
      <c r="B180" s="40" t="s">
        <v>875</v>
      </c>
      <c r="C180" s="40"/>
      <c r="D180" s="41">
        <v>20</v>
      </c>
      <c r="E180" s="50">
        <f t="shared" ref="E180:E189" si="21">E179</f>
        <v>1640</v>
      </c>
      <c r="F180" s="53">
        <v>512</v>
      </c>
      <c r="G180" s="42">
        <v>1</v>
      </c>
      <c r="H180" s="45">
        <f>(E180+D180)*3.142/1000*G180</f>
        <v>5.2157200000000001</v>
      </c>
      <c r="I180" s="45" t="s">
        <v>886</v>
      </c>
      <c r="J180" s="45">
        <f>VLOOKUP(D180,BM!$A$2:$X$57,16,FALSE)</f>
        <v>1</v>
      </c>
      <c r="K180" s="45"/>
      <c r="L180" s="49">
        <f t="shared" si="17"/>
        <v>5.2157200000000001</v>
      </c>
      <c r="M180" s="46">
        <v>1</v>
      </c>
      <c r="N180" s="46">
        <f t="shared" si="18"/>
        <v>6.2157200000000001</v>
      </c>
    </row>
    <row r="181" spans="1:14" ht="18.75" customHeight="1">
      <c r="A181" s="40" t="s">
        <v>975</v>
      </c>
      <c r="B181" s="40" t="s">
        <v>875</v>
      </c>
      <c r="C181" s="40"/>
      <c r="D181" s="41">
        <v>14</v>
      </c>
      <c r="E181" s="50">
        <f t="shared" si="21"/>
        <v>1640</v>
      </c>
      <c r="F181" s="53">
        <v>512</v>
      </c>
      <c r="G181" s="42">
        <v>1</v>
      </c>
      <c r="H181" s="45">
        <f t="shared" ref="H181:H188" si="22">(E181+D181)*3.142/1000*G181</f>
        <v>5.1968679999999994</v>
      </c>
      <c r="I181" s="45" t="s">
        <v>886</v>
      </c>
      <c r="J181" s="45">
        <f>VLOOKUP(D181,BM!$A$2:$X$57,17,FALSE)</f>
        <v>3.22</v>
      </c>
      <c r="K181" s="45"/>
      <c r="L181" s="49">
        <f t="shared" si="17"/>
        <v>16.73391496</v>
      </c>
      <c r="M181" s="46">
        <v>1</v>
      </c>
      <c r="N181" s="46">
        <f t="shared" si="18"/>
        <v>17.73391496</v>
      </c>
    </row>
    <row r="182" spans="1:14" ht="18.75" customHeight="1">
      <c r="A182" s="40" t="s">
        <v>976</v>
      </c>
      <c r="B182" s="40" t="s">
        <v>875</v>
      </c>
      <c r="C182" s="40"/>
      <c r="D182" s="41">
        <v>18</v>
      </c>
      <c r="E182" s="50">
        <f t="shared" si="21"/>
        <v>1640</v>
      </c>
      <c r="F182" s="53">
        <v>512</v>
      </c>
      <c r="G182" s="42">
        <v>1</v>
      </c>
      <c r="H182" s="45">
        <f t="shared" si="22"/>
        <v>5.2094359999999993</v>
      </c>
      <c r="I182" s="45" t="s">
        <v>886</v>
      </c>
      <c r="J182" s="45">
        <f>VLOOKUP(D182,BM!$A$2:$X$57,18,FALSE)</f>
        <v>1</v>
      </c>
      <c r="K182" s="45"/>
      <c r="L182" s="49">
        <f t="shared" si="17"/>
        <v>5.2094359999999993</v>
      </c>
      <c r="M182" s="46">
        <v>1</v>
      </c>
      <c r="N182" s="46">
        <f t="shared" si="18"/>
        <v>6.2094359999999993</v>
      </c>
    </row>
    <row r="183" spans="1:14" ht="18.75" customHeight="1">
      <c r="A183" s="40" t="s">
        <v>977</v>
      </c>
      <c r="B183" s="40" t="s">
        <v>875</v>
      </c>
      <c r="C183" s="40"/>
      <c r="D183" s="41">
        <v>6</v>
      </c>
      <c r="E183" s="50">
        <f t="shared" si="21"/>
        <v>1640</v>
      </c>
      <c r="F183" s="53">
        <v>512</v>
      </c>
      <c r="G183" s="42">
        <v>1</v>
      </c>
      <c r="H183" s="45">
        <f t="shared" si="22"/>
        <v>5.1717319999999996</v>
      </c>
      <c r="I183" s="45" t="s">
        <v>886</v>
      </c>
      <c r="J183" s="45">
        <f>VLOOKUP(D183,BM!$A$2:$X$57,17,FALSE)</f>
        <v>0.9</v>
      </c>
      <c r="K183" s="45"/>
      <c r="L183" s="49">
        <f t="shared" si="17"/>
        <v>4.6545587999999993</v>
      </c>
      <c r="M183" s="46">
        <v>1</v>
      </c>
      <c r="N183" s="46">
        <f t="shared" si="18"/>
        <v>5.6545587999999993</v>
      </c>
    </row>
    <row r="184" spans="1:14" ht="18.75" customHeight="1">
      <c r="A184" s="40" t="s">
        <v>978</v>
      </c>
      <c r="B184" s="40" t="s">
        <v>875</v>
      </c>
      <c r="C184" s="40"/>
      <c r="D184" s="41">
        <v>20</v>
      </c>
      <c r="E184" s="50">
        <f t="shared" si="21"/>
        <v>1640</v>
      </c>
      <c r="F184" s="53">
        <v>512</v>
      </c>
      <c r="G184" s="42">
        <v>1</v>
      </c>
      <c r="H184" s="45">
        <f t="shared" si="22"/>
        <v>5.2157200000000001</v>
      </c>
      <c r="I184" s="45" t="s">
        <v>886</v>
      </c>
      <c r="J184" s="45">
        <f>VLOOKUP(D184,BM!$A$2:$X$57,16,FALSE)</f>
        <v>1</v>
      </c>
      <c r="K184" s="45"/>
      <c r="L184" s="49">
        <f t="shared" si="17"/>
        <v>5.2157200000000001</v>
      </c>
      <c r="M184" s="46">
        <v>1</v>
      </c>
      <c r="N184" s="46">
        <f t="shared" si="18"/>
        <v>6.2157200000000001</v>
      </c>
    </row>
    <row r="185" spans="1:14" ht="18.75" customHeight="1">
      <c r="A185" s="40" t="s">
        <v>979</v>
      </c>
      <c r="B185" s="40" t="s">
        <v>875</v>
      </c>
      <c r="C185" s="40"/>
      <c r="D185" s="41">
        <v>14</v>
      </c>
      <c r="E185" s="50">
        <f t="shared" si="21"/>
        <v>1640</v>
      </c>
      <c r="F185" s="53">
        <v>512</v>
      </c>
      <c r="G185" s="42">
        <v>1</v>
      </c>
      <c r="H185" s="45">
        <f t="shared" si="22"/>
        <v>5.1968679999999994</v>
      </c>
      <c r="I185" s="45" t="s">
        <v>886</v>
      </c>
      <c r="J185" s="45">
        <f>VLOOKUP(D185,BM!$A$2:$X$57,17,FALSE)</f>
        <v>3.22</v>
      </c>
      <c r="K185" s="45"/>
      <c r="L185" s="49">
        <f t="shared" si="17"/>
        <v>16.73391496</v>
      </c>
      <c r="M185" s="46">
        <v>1</v>
      </c>
      <c r="N185" s="46">
        <f t="shared" si="18"/>
        <v>17.73391496</v>
      </c>
    </row>
    <row r="186" spans="1:14" ht="18.75" customHeight="1">
      <c r="A186" s="40" t="s">
        <v>976</v>
      </c>
      <c r="B186" s="40" t="s">
        <v>875</v>
      </c>
      <c r="C186" s="40"/>
      <c r="D186" s="41">
        <v>6</v>
      </c>
      <c r="E186" s="50">
        <f t="shared" si="21"/>
        <v>1640</v>
      </c>
      <c r="F186" s="53">
        <v>512</v>
      </c>
      <c r="G186" s="42">
        <v>1</v>
      </c>
      <c r="H186" s="45">
        <f t="shared" si="22"/>
        <v>5.1717319999999996</v>
      </c>
      <c r="I186" s="45" t="s">
        <v>886</v>
      </c>
      <c r="J186" s="45">
        <f>VLOOKUP(D186,BM!$A$2:$X$57,18,FALSE)</f>
        <v>1</v>
      </c>
      <c r="K186" s="45"/>
      <c r="L186" s="49">
        <f t="shared" si="17"/>
        <v>5.1717319999999996</v>
      </c>
      <c r="M186" s="46">
        <v>1</v>
      </c>
      <c r="N186" s="46">
        <f t="shared" si="18"/>
        <v>6.1717319999999996</v>
      </c>
    </row>
    <row r="187" spans="1:14" ht="18.75" customHeight="1">
      <c r="A187" s="40" t="s">
        <v>977</v>
      </c>
      <c r="B187" s="40" t="s">
        <v>875</v>
      </c>
      <c r="C187" s="40"/>
      <c r="D187" s="41">
        <v>6</v>
      </c>
      <c r="E187" s="50">
        <f t="shared" si="21"/>
        <v>1640</v>
      </c>
      <c r="F187" s="53">
        <v>512</v>
      </c>
      <c r="G187" s="42">
        <v>1</v>
      </c>
      <c r="H187" s="45">
        <f t="shared" si="22"/>
        <v>5.1717319999999996</v>
      </c>
      <c r="I187" s="45" t="s">
        <v>886</v>
      </c>
      <c r="J187" s="45">
        <f>VLOOKUP(D187,BM!$A$2:$X$57,17,FALSE)</f>
        <v>0.9</v>
      </c>
      <c r="K187" s="45"/>
      <c r="L187" s="49">
        <f t="shared" si="17"/>
        <v>4.6545587999999993</v>
      </c>
      <c r="M187" s="46">
        <v>1</v>
      </c>
      <c r="N187" s="46">
        <f t="shared" si="18"/>
        <v>5.6545587999999993</v>
      </c>
    </row>
    <row r="188" spans="1:14" ht="18.75" customHeight="1">
      <c r="A188" s="40" t="s">
        <v>980</v>
      </c>
      <c r="B188" s="40" t="s">
        <v>875</v>
      </c>
      <c r="C188" s="40"/>
      <c r="D188" s="41">
        <v>20</v>
      </c>
      <c r="E188" s="50">
        <f t="shared" si="21"/>
        <v>1640</v>
      </c>
      <c r="F188" s="53">
        <v>512</v>
      </c>
      <c r="G188" s="42">
        <v>1</v>
      </c>
      <c r="H188" s="45">
        <f t="shared" si="22"/>
        <v>5.2157200000000001</v>
      </c>
      <c r="I188" s="45" t="s">
        <v>886</v>
      </c>
      <c r="J188" s="45">
        <f>VLOOKUP(D188,BM!$A$2:$X$57,20,FALSE)</f>
        <v>0.5</v>
      </c>
      <c r="K188" s="45"/>
      <c r="L188" s="49">
        <f t="shared" si="17"/>
        <v>2.6078600000000001</v>
      </c>
      <c r="M188" s="46">
        <v>1</v>
      </c>
      <c r="N188" s="46">
        <f t="shared" si="18"/>
        <v>3.6078600000000001</v>
      </c>
    </row>
    <row r="189" spans="1:14" ht="18.75" customHeight="1">
      <c r="A189" s="40" t="s">
        <v>981</v>
      </c>
      <c r="B189" s="40" t="s">
        <v>875</v>
      </c>
      <c r="C189" s="40" t="s">
        <v>581</v>
      </c>
      <c r="D189" s="41"/>
      <c r="E189" s="50">
        <f t="shared" si="21"/>
        <v>1640</v>
      </c>
      <c r="F189" s="53">
        <v>512</v>
      </c>
      <c r="G189" s="42">
        <v>1</v>
      </c>
      <c r="H189" s="42">
        <v>1</v>
      </c>
      <c r="I189" s="45" t="s">
        <v>564</v>
      </c>
      <c r="J189" s="45"/>
      <c r="K189" s="45"/>
      <c r="L189" s="49"/>
      <c r="M189" s="46"/>
      <c r="N189" s="46" t="s">
        <v>902</v>
      </c>
    </row>
    <row r="190" spans="1:14" ht="18.75" customHeight="1">
      <c r="A190" s="34"/>
      <c r="B190" s="34"/>
      <c r="C190" s="34"/>
    </row>
    <row r="191" spans="1:14" ht="18.75" customHeight="1">
      <c r="A191" s="37" t="s">
        <v>866</v>
      </c>
      <c r="B191" s="38" t="s">
        <v>867</v>
      </c>
      <c r="C191" s="38"/>
      <c r="D191" s="39" t="s">
        <v>2</v>
      </c>
      <c r="E191" s="39" t="s">
        <v>908</v>
      </c>
      <c r="F191" s="39" t="s">
        <v>909</v>
      </c>
      <c r="G191" s="39" t="s">
        <v>4</v>
      </c>
      <c r="H191" s="39" t="s">
        <v>870</v>
      </c>
      <c r="I191" s="39" t="s">
        <v>5</v>
      </c>
      <c r="J191" s="39" t="s">
        <v>871</v>
      </c>
      <c r="K191" s="39" t="s">
        <v>5</v>
      </c>
      <c r="L191" s="39" t="s">
        <v>870</v>
      </c>
      <c r="M191" s="39" t="s">
        <v>872</v>
      </c>
      <c r="N191" s="39" t="s">
        <v>873</v>
      </c>
    </row>
    <row r="192" spans="1:14" ht="18.75" customHeight="1">
      <c r="A192" s="40" t="s">
        <v>982</v>
      </c>
      <c r="B192" s="40"/>
      <c r="C192" s="40"/>
      <c r="D192" s="41">
        <v>20</v>
      </c>
      <c r="E192" s="42">
        <v>1640</v>
      </c>
      <c r="F192" s="52">
        <v>512</v>
      </c>
      <c r="G192" s="42">
        <v>1</v>
      </c>
      <c r="H192" s="42">
        <v>1</v>
      </c>
      <c r="I192" s="45" t="s">
        <v>564</v>
      </c>
      <c r="J192" s="45">
        <v>4</v>
      </c>
      <c r="K192" s="45"/>
      <c r="L192" s="49">
        <f t="shared" ref="L192:L199" si="23">H192*J192</f>
        <v>4</v>
      </c>
      <c r="M192" s="46">
        <v>0</v>
      </c>
      <c r="N192" s="46">
        <v>4</v>
      </c>
    </row>
    <row r="193" spans="1:14" ht="18.75" customHeight="1">
      <c r="A193" s="40" t="s">
        <v>983</v>
      </c>
      <c r="B193" s="40" t="s">
        <v>581</v>
      </c>
      <c r="C193" s="40"/>
      <c r="D193" s="41" t="s">
        <v>984</v>
      </c>
      <c r="E193" s="42"/>
      <c r="F193" s="52"/>
      <c r="G193" s="42">
        <v>2</v>
      </c>
      <c r="H193" s="42">
        <v>2</v>
      </c>
      <c r="I193" s="45" t="s">
        <v>564</v>
      </c>
      <c r="J193" s="45">
        <v>2</v>
      </c>
      <c r="K193" s="45"/>
      <c r="L193" s="49">
        <f t="shared" si="23"/>
        <v>4</v>
      </c>
      <c r="M193" s="46">
        <v>0.5</v>
      </c>
      <c r="N193" s="46">
        <f>L193+M193</f>
        <v>4.5</v>
      </c>
    </row>
    <row r="194" spans="1:14" ht="18.75" customHeight="1">
      <c r="A194" s="40" t="s">
        <v>985</v>
      </c>
      <c r="B194" s="40" t="s">
        <v>581</v>
      </c>
      <c r="C194" s="40"/>
      <c r="D194" s="41" t="s">
        <v>984</v>
      </c>
      <c r="E194" s="42"/>
      <c r="F194" s="52"/>
      <c r="G194" s="42">
        <v>2</v>
      </c>
      <c r="H194" s="42">
        <v>2</v>
      </c>
      <c r="I194" s="45" t="s">
        <v>564</v>
      </c>
      <c r="J194" s="45">
        <v>2</v>
      </c>
      <c r="K194" s="45"/>
      <c r="L194" s="49">
        <f t="shared" si="23"/>
        <v>4</v>
      </c>
      <c r="M194" s="46">
        <v>0.5</v>
      </c>
      <c r="N194" s="46">
        <f>L194+M194</f>
        <v>4.5</v>
      </c>
    </row>
    <row r="195" spans="1:14" ht="18.75" customHeight="1">
      <c r="A195" s="40" t="s">
        <v>986</v>
      </c>
      <c r="B195" s="40" t="s">
        <v>581</v>
      </c>
      <c r="C195" s="40"/>
      <c r="D195" s="41" t="s">
        <v>984</v>
      </c>
      <c r="E195" s="42"/>
      <c r="F195" s="52"/>
      <c r="G195" s="42">
        <v>2</v>
      </c>
      <c r="H195" s="42">
        <v>2</v>
      </c>
      <c r="I195" s="45" t="s">
        <v>564</v>
      </c>
      <c r="J195" s="45">
        <v>2</v>
      </c>
      <c r="K195" s="45"/>
      <c r="L195" s="49">
        <f t="shared" si="23"/>
        <v>4</v>
      </c>
      <c r="M195" s="46">
        <v>0.5</v>
      </c>
      <c r="N195" s="46">
        <f>L195+M195</f>
        <v>4.5</v>
      </c>
    </row>
    <row r="196" spans="1:14" ht="18.75" customHeight="1">
      <c r="A196" s="40" t="s">
        <v>987</v>
      </c>
      <c r="B196" s="40"/>
      <c r="C196" s="40"/>
      <c r="D196" s="41">
        <v>14</v>
      </c>
      <c r="E196" s="42"/>
      <c r="F196" s="52">
        <f>100*3.142*0.001</f>
        <v>0.31419999999999998</v>
      </c>
      <c r="G196" s="42">
        <v>2</v>
      </c>
      <c r="H196" s="42">
        <f>F196*G196</f>
        <v>0.62839999999999996</v>
      </c>
      <c r="I196" s="45" t="s">
        <v>886</v>
      </c>
      <c r="J196" s="45">
        <f>VLOOKUP(D196,BM!$A$2:$X$57,23,FALSE)</f>
        <v>4.4000000000000004</v>
      </c>
      <c r="K196" s="45"/>
      <c r="L196" s="49">
        <f t="shared" si="23"/>
        <v>2.7649599999999999</v>
      </c>
      <c r="M196" s="46">
        <v>1</v>
      </c>
      <c r="N196" s="46">
        <f>L196+M196</f>
        <v>3.7649599999999999</v>
      </c>
    </row>
    <row r="197" spans="1:14" ht="18.75" customHeight="1">
      <c r="A197" s="40" t="s">
        <v>987</v>
      </c>
      <c r="B197" s="40"/>
      <c r="C197" s="40"/>
      <c r="D197" s="41">
        <v>14</v>
      </c>
      <c r="E197" s="42"/>
      <c r="F197" s="52">
        <f>100*3.142*0.001</f>
        <v>0.31419999999999998</v>
      </c>
      <c r="G197" s="42">
        <v>2</v>
      </c>
      <c r="H197" s="42">
        <f>F197*G197</f>
        <v>0.62839999999999996</v>
      </c>
      <c r="I197" s="45" t="s">
        <v>886</v>
      </c>
      <c r="J197" s="45">
        <f>VLOOKUP(D197,BM!$A$2:$X$57,23,FALSE)</f>
        <v>4.4000000000000004</v>
      </c>
      <c r="K197" s="45"/>
      <c r="L197" s="49">
        <f t="shared" si="23"/>
        <v>2.7649599999999999</v>
      </c>
      <c r="M197" s="46">
        <v>1</v>
      </c>
      <c r="N197" s="46">
        <f>L197+M197</f>
        <v>3.7649599999999999</v>
      </c>
    </row>
    <row r="198" spans="1:14" ht="18.75" customHeight="1">
      <c r="A198" s="40" t="s">
        <v>988</v>
      </c>
      <c r="B198" s="40"/>
      <c r="C198" s="40"/>
      <c r="D198" s="41">
        <v>6</v>
      </c>
      <c r="E198" s="42"/>
      <c r="F198" s="52">
        <f t="shared" ref="F198:F199" si="24">100*3.142*0.001</f>
        <v>0.31419999999999998</v>
      </c>
      <c r="G198" s="42">
        <v>2</v>
      </c>
      <c r="H198" s="42">
        <f t="shared" ref="H198:H199" si="25">F198*G198</f>
        <v>0.62839999999999996</v>
      </c>
      <c r="I198" s="45" t="s">
        <v>886</v>
      </c>
      <c r="J198" s="45">
        <f>VLOOKUP(D198,BM!$A$2:$X$57,22,FALSE)</f>
        <v>0.6</v>
      </c>
      <c r="K198" s="45"/>
      <c r="L198" s="49">
        <f t="shared" si="23"/>
        <v>0.37703999999999999</v>
      </c>
      <c r="M198" s="46">
        <v>1</v>
      </c>
      <c r="N198" s="46">
        <f t="shared" ref="N198:N199" si="26">L198+M198</f>
        <v>1.37704</v>
      </c>
    </row>
    <row r="199" spans="1:14" ht="18.75" customHeight="1">
      <c r="A199" s="40" t="s">
        <v>988</v>
      </c>
      <c r="B199" s="40"/>
      <c r="C199" s="40"/>
      <c r="D199" s="41">
        <v>6</v>
      </c>
      <c r="E199" s="42"/>
      <c r="F199" s="52">
        <f t="shared" si="24"/>
        <v>0.31419999999999998</v>
      </c>
      <c r="G199" s="42">
        <v>2</v>
      </c>
      <c r="H199" s="42">
        <f t="shared" si="25"/>
        <v>0.62839999999999996</v>
      </c>
      <c r="I199" s="45" t="s">
        <v>886</v>
      </c>
      <c r="J199" s="45">
        <f>VLOOKUP(D199,BM!$A$2:$X$57,22,FALSE)</f>
        <v>0.6</v>
      </c>
      <c r="K199" s="45"/>
      <c r="L199" s="49">
        <f t="shared" si="23"/>
        <v>0.37703999999999999</v>
      </c>
      <c r="M199" s="46">
        <v>1</v>
      </c>
      <c r="N199" s="46">
        <f t="shared" si="26"/>
        <v>1.37704</v>
      </c>
    </row>
    <row r="200" spans="1:14" ht="18.75" customHeight="1">
      <c r="H200" s="47"/>
      <c r="I200" s="47"/>
      <c r="J200" s="48"/>
      <c r="K200" s="48"/>
      <c r="L200" s="48"/>
      <c r="M200" s="48"/>
      <c r="N200" s="48"/>
    </row>
    <row r="201" spans="1:14" ht="18.75" customHeight="1">
      <c r="A201" s="37" t="s">
        <v>866</v>
      </c>
      <c r="B201" s="38" t="s">
        <v>867</v>
      </c>
      <c r="C201" s="38"/>
      <c r="D201" s="39" t="s">
        <v>2</v>
      </c>
      <c r="E201" s="39" t="s">
        <v>908</v>
      </c>
      <c r="F201" s="39" t="s">
        <v>909</v>
      </c>
      <c r="G201" s="39" t="s">
        <v>4</v>
      </c>
      <c r="H201" s="39" t="s">
        <v>870</v>
      </c>
      <c r="I201" s="39" t="s">
        <v>5</v>
      </c>
      <c r="J201" s="39" t="s">
        <v>871</v>
      </c>
      <c r="K201" s="39" t="s">
        <v>5</v>
      </c>
      <c r="L201" s="39" t="s">
        <v>870</v>
      </c>
      <c r="M201" s="39" t="s">
        <v>872</v>
      </c>
      <c r="N201" s="39" t="s">
        <v>873</v>
      </c>
    </row>
    <row r="202" spans="1:14" ht="18.75" customHeight="1">
      <c r="A202" s="40" t="s">
        <v>989</v>
      </c>
      <c r="B202" s="40" t="s">
        <v>875</v>
      </c>
      <c r="C202" s="40"/>
      <c r="D202" s="55">
        <v>18</v>
      </c>
      <c r="E202" s="55">
        <v>1500</v>
      </c>
      <c r="F202" s="55">
        <v>921</v>
      </c>
      <c r="G202" s="40">
        <v>1</v>
      </c>
      <c r="H202" s="45">
        <f>(E202*2*0.001+F202*2*0.001)*G202</f>
        <v>4.8420000000000005</v>
      </c>
      <c r="I202" s="40" t="s">
        <v>886</v>
      </c>
      <c r="J202" s="40">
        <f>VLOOKUP(D202,BM!$A$2:$X$57,2,FALSE)</f>
        <v>0.1</v>
      </c>
      <c r="K202" s="40"/>
      <c r="L202" s="49">
        <f>H202*J202</f>
        <v>0.48420000000000007</v>
      </c>
      <c r="M202" s="40">
        <v>1</v>
      </c>
      <c r="N202" s="57">
        <f t="shared" ref="N202:N229" si="27">L202+M202</f>
        <v>1.4842</v>
      </c>
    </row>
    <row r="203" spans="1:14" ht="18.75" customHeight="1">
      <c r="A203" s="40" t="s">
        <v>990</v>
      </c>
      <c r="B203" s="40" t="s">
        <v>875</v>
      </c>
      <c r="C203" s="40"/>
      <c r="D203" s="55">
        <v>18</v>
      </c>
      <c r="E203" s="55">
        <v>1500</v>
      </c>
      <c r="F203" s="55">
        <v>921</v>
      </c>
      <c r="G203" s="40">
        <v>1</v>
      </c>
      <c r="H203" s="45">
        <f>((E203+D203)*3.142*2*0.001+F203*2*0.001)*G203</f>
        <v>11.381112</v>
      </c>
      <c r="I203" s="40" t="s">
        <v>886</v>
      </c>
      <c r="J203" s="40">
        <f>VLOOKUP(D203,BM!$A$2:$X$57,3,FALSE)</f>
        <v>0.25</v>
      </c>
      <c r="K203" s="40"/>
      <c r="L203" s="49">
        <f t="shared" ref="L203:L229" si="28">H203*J203</f>
        <v>2.845278</v>
      </c>
      <c r="M203" s="40">
        <v>1</v>
      </c>
      <c r="N203" s="57">
        <f t="shared" si="27"/>
        <v>3.845278</v>
      </c>
    </row>
    <row r="204" spans="1:14" ht="18.75" customHeight="1">
      <c r="A204" s="40" t="s">
        <v>991</v>
      </c>
      <c r="B204" s="40" t="s">
        <v>875</v>
      </c>
      <c r="C204" s="40"/>
      <c r="D204" s="55">
        <v>18</v>
      </c>
      <c r="E204" s="55">
        <v>1500</v>
      </c>
      <c r="F204" s="55">
        <v>921</v>
      </c>
      <c r="G204" s="40">
        <v>1</v>
      </c>
      <c r="H204" s="46">
        <f>((E204+D204)*3.142*2*0.001+F204*2*0.001)*G204</f>
        <v>11.381112</v>
      </c>
      <c r="I204" s="40" t="s">
        <v>886</v>
      </c>
      <c r="J204" s="40">
        <f>VLOOKUP(D204,BM!$A$2:$X$57,4,FALSE)</f>
        <v>0.15</v>
      </c>
      <c r="K204" s="40"/>
      <c r="L204" s="49">
        <f t="shared" si="28"/>
        <v>1.7071668</v>
      </c>
      <c r="M204" s="40">
        <v>1</v>
      </c>
      <c r="N204" s="57">
        <f t="shared" si="27"/>
        <v>2.7071668</v>
      </c>
    </row>
    <row r="205" spans="1:14" ht="18.75" customHeight="1">
      <c r="A205" s="40" t="s">
        <v>992</v>
      </c>
      <c r="B205" s="40" t="s">
        <v>875</v>
      </c>
      <c r="C205" s="40"/>
      <c r="D205" s="55">
        <v>18</v>
      </c>
      <c r="E205" s="55">
        <v>1500</v>
      </c>
      <c r="F205" s="55">
        <v>921</v>
      </c>
      <c r="G205" s="40">
        <v>1</v>
      </c>
      <c r="H205" s="46">
        <f>(E205+D205)*3.142*0.001*2</f>
        <v>9.5391119999999994</v>
      </c>
      <c r="I205" s="40" t="s">
        <v>886</v>
      </c>
      <c r="J205" s="40">
        <f>VLOOKUP(D205,BM!$A$2:$X$57,5,FALSE)</f>
        <v>0.5</v>
      </c>
      <c r="K205" s="40"/>
      <c r="L205" s="49">
        <f t="shared" si="28"/>
        <v>4.7695559999999997</v>
      </c>
      <c r="M205" s="40">
        <v>1</v>
      </c>
      <c r="N205" s="57">
        <f t="shared" si="27"/>
        <v>5.7695559999999997</v>
      </c>
    </row>
    <row r="206" spans="1:14" ht="18.75" customHeight="1">
      <c r="A206" s="40" t="s">
        <v>993</v>
      </c>
      <c r="B206" s="40" t="s">
        <v>875</v>
      </c>
      <c r="C206" s="40"/>
      <c r="D206" s="55">
        <v>18</v>
      </c>
      <c r="E206" s="55">
        <v>1500</v>
      </c>
      <c r="F206" s="55">
        <v>921</v>
      </c>
      <c r="G206" s="40">
        <v>1</v>
      </c>
      <c r="H206" s="46">
        <f>(E206+D206)*3.142*0.001*2</f>
        <v>9.5391119999999994</v>
      </c>
      <c r="I206" s="40" t="s">
        <v>886</v>
      </c>
      <c r="J206" s="40">
        <f>VLOOKUP(D206,BM!$A$2:$X$57,6,FALSE)</f>
        <v>1</v>
      </c>
      <c r="K206" s="40"/>
      <c r="L206" s="49">
        <f t="shared" si="28"/>
        <v>9.5391119999999994</v>
      </c>
      <c r="M206" s="40">
        <v>1</v>
      </c>
      <c r="N206" s="57">
        <f t="shared" si="27"/>
        <v>10.539111999999999</v>
      </c>
    </row>
    <row r="207" spans="1:14" ht="18.75" customHeight="1">
      <c r="A207" s="40" t="s">
        <v>994</v>
      </c>
      <c r="B207" s="40" t="s">
        <v>875</v>
      </c>
      <c r="C207" s="40" t="s">
        <v>581</v>
      </c>
      <c r="D207" s="55">
        <v>18</v>
      </c>
      <c r="E207" s="55">
        <v>1500</v>
      </c>
      <c r="F207" s="55">
        <v>921</v>
      </c>
      <c r="G207" s="40">
        <v>1</v>
      </c>
      <c r="H207" s="42">
        <v>1</v>
      </c>
      <c r="I207" s="40"/>
      <c r="J207" s="40">
        <v>2</v>
      </c>
      <c r="K207" s="40"/>
      <c r="L207" s="49">
        <f t="shared" si="28"/>
        <v>2</v>
      </c>
      <c r="M207" s="40">
        <v>1</v>
      </c>
      <c r="N207" s="57">
        <f t="shared" si="27"/>
        <v>3</v>
      </c>
    </row>
    <row r="208" spans="1:14" ht="18.75" customHeight="1">
      <c r="A208" s="40" t="s">
        <v>995</v>
      </c>
      <c r="B208" s="40" t="s">
        <v>875</v>
      </c>
      <c r="C208" s="40"/>
      <c r="D208" s="55">
        <v>18</v>
      </c>
      <c r="E208" s="55">
        <v>1500</v>
      </c>
      <c r="F208" s="55">
        <v>921</v>
      </c>
      <c r="G208" s="40">
        <v>1</v>
      </c>
      <c r="H208" s="42">
        <f>F208*0.002*2+G208</f>
        <v>4.6840000000000002</v>
      </c>
      <c r="I208" s="40" t="s">
        <v>886</v>
      </c>
      <c r="J208" s="40">
        <f>VLOOKUP(D208,BM!$A$2:$X$57,8,FALSE)</f>
        <v>0.3</v>
      </c>
      <c r="K208" s="40"/>
      <c r="L208" s="49">
        <f t="shared" si="28"/>
        <v>1.4052</v>
      </c>
      <c r="M208" s="40">
        <v>1</v>
      </c>
      <c r="N208" s="57">
        <f t="shared" si="27"/>
        <v>2.4051999999999998</v>
      </c>
    </row>
    <row r="209" spans="1:14" ht="18.75" customHeight="1">
      <c r="A209" s="40" t="s">
        <v>996</v>
      </c>
      <c r="B209" s="40" t="s">
        <v>875</v>
      </c>
      <c r="C209" s="40"/>
      <c r="D209" s="55">
        <v>18</v>
      </c>
      <c r="E209" s="55">
        <v>1500</v>
      </c>
      <c r="F209" s="55">
        <v>921</v>
      </c>
      <c r="G209" s="40">
        <v>1</v>
      </c>
      <c r="H209" s="42">
        <f>E209*0.001*2</f>
        <v>3</v>
      </c>
      <c r="I209" s="40" t="s">
        <v>886</v>
      </c>
      <c r="J209" s="40">
        <f>VLOOKUP(D209,BM!$A$2:$X$57,9,FALSE)</f>
        <v>1</v>
      </c>
      <c r="K209" s="40"/>
      <c r="L209" s="49">
        <f t="shared" si="28"/>
        <v>3</v>
      </c>
      <c r="M209" s="40">
        <v>1</v>
      </c>
      <c r="N209" s="57">
        <f t="shared" si="27"/>
        <v>4</v>
      </c>
    </row>
    <row r="210" spans="1:14" ht="18.75" customHeight="1">
      <c r="A210" s="40" t="s">
        <v>997</v>
      </c>
      <c r="B210" s="40" t="s">
        <v>875</v>
      </c>
      <c r="C210" s="40" t="s">
        <v>581</v>
      </c>
      <c r="D210" s="55">
        <v>18</v>
      </c>
      <c r="E210" s="55">
        <v>1500</v>
      </c>
      <c r="F210" s="55">
        <v>921</v>
      </c>
      <c r="G210" s="40">
        <v>1</v>
      </c>
      <c r="H210" s="42">
        <v>1</v>
      </c>
      <c r="I210" s="40" t="s">
        <v>564</v>
      </c>
      <c r="J210" s="40">
        <v>3</v>
      </c>
      <c r="K210" s="40"/>
      <c r="L210" s="49">
        <f t="shared" si="28"/>
        <v>3</v>
      </c>
      <c r="M210" s="40">
        <v>1</v>
      </c>
      <c r="N210" s="57">
        <f t="shared" si="27"/>
        <v>4</v>
      </c>
    </row>
    <row r="211" spans="1:14" ht="18.75" customHeight="1">
      <c r="H211" s="47"/>
      <c r="I211" s="47"/>
      <c r="J211" s="48"/>
      <c r="K211" s="48"/>
      <c r="L211" s="48"/>
      <c r="M211" s="48"/>
      <c r="N211" s="48"/>
    </row>
    <row r="212" spans="1:14" ht="18.75" customHeight="1">
      <c r="A212" s="37" t="s">
        <v>866</v>
      </c>
      <c r="B212" s="38" t="s">
        <v>867</v>
      </c>
      <c r="C212" s="38"/>
      <c r="D212" s="39" t="s">
        <v>2</v>
      </c>
      <c r="E212" s="39" t="s">
        <v>908</v>
      </c>
      <c r="F212" s="39" t="s">
        <v>909</v>
      </c>
      <c r="G212" s="39" t="s">
        <v>4</v>
      </c>
      <c r="H212" s="39" t="s">
        <v>870</v>
      </c>
      <c r="I212" s="39" t="s">
        <v>5</v>
      </c>
      <c r="J212" s="39" t="s">
        <v>871</v>
      </c>
      <c r="K212" s="39" t="s">
        <v>5</v>
      </c>
      <c r="L212" s="39" t="s">
        <v>870</v>
      </c>
      <c r="M212" s="39" t="s">
        <v>872</v>
      </c>
      <c r="N212" s="39" t="s">
        <v>873</v>
      </c>
    </row>
    <row r="213" spans="1:14" ht="18.75" customHeight="1">
      <c r="A213" s="40" t="s">
        <v>998</v>
      </c>
      <c r="B213" s="40" t="s">
        <v>875</v>
      </c>
      <c r="C213" s="40"/>
      <c r="D213" s="55">
        <v>18</v>
      </c>
      <c r="E213" s="55">
        <v>1500</v>
      </c>
      <c r="F213" s="55">
        <v>921</v>
      </c>
      <c r="G213" s="40">
        <v>1</v>
      </c>
      <c r="H213" s="42">
        <f>F213*0.001*2*G213</f>
        <v>1.8420000000000001</v>
      </c>
      <c r="I213" s="40" t="s">
        <v>886</v>
      </c>
      <c r="J213" s="40">
        <f>VLOOKUP(D213,BM!$A$2:$X$57,13,FALSE)</f>
        <v>0.45</v>
      </c>
      <c r="K213" s="40"/>
      <c r="L213" s="49">
        <f t="shared" si="28"/>
        <v>0.82890000000000008</v>
      </c>
      <c r="M213" s="40">
        <v>1</v>
      </c>
      <c r="N213" s="57"/>
    </row>
    <row r="214" spans="1:14" ht="18.75" customHeight="1">
      <c r="A214" s="40" t="s">
        <v>999</v>
      </c>
      <c r="B214" s="40" t="s">
        <v>875</v>
      </c>
      <c r="C214" s="40"/>
      <c r="D214" s="55">
        <v>18</v>
      </c>
      <c r="E214" s="55">
        <v>1500</v>
      </c>
      <c r="F214" s="55">
        <v>921</v>
      </c>
      <c r="G214" s="40">
        <v>1</v>
      </c>
      <c r="H214" s="42">
        <f>F214*0.001*G214</f>
        <v>0.92100000000000004</v>
      </c>
      <c r="I214" s="40" t="s">
        <v>886</v>
      </c>
      <c r="J214" s="40">
        <f>VLOOKUP(D214,BM!$A$2:$X$57,10,FALSE)</f>
        <v>1</v>
      </c>
      <c r="K214" s="40"/>
      <c r="L214" s="49">
        <f t="shared" si="28"/>
        <v>0.92100000000000004</v>
      </c>
      <c r="M214" s="40">
        <v>1</v>
      </c>
      <c r="N214" s="57">
        <f t="shared" ref="N214" si="29">L214+M214</f>
        <v>1.921</v>
      </c>
    </row>
    <row r="215" spans="1:14" ht="18.75" customHeight="1">
      <c r="A215" s="40" t="s">
        <v>1000</v>
      </c>
      <c r="B215" s="40" t="s">
        <v>875</v>
      </c>
      <c r="C215" s="40" t="s">
        <v>581</v>
      </c>
      <c r="D215" s="55">
        <v>18</v>
      </c>
      <c r="E215" s="55">
        <v>1500</v>
      </c>
      <c r="F215" s="55">
        <v>921</v>
      </c>
      <c r="G215" s="40">
        <v>1</v>
      </c>
      <c r="H215" s="42">
        <v>1</v>
      </c>
      <c r="I215" s="40" t="s">
        <v>39</v>
      </c>
      <c r="J215" s="40">
        <v>2</v>
      </c>
      <c r="K215" s="40"/>
      <c r="L215" s="49">
        <f t="shared" si="28"/>
        <v>2</v>
      </c>
      <c r="M215" s="40">
        <v>1</v>
      </c>
      <c r="N215" s="57">
        <f t="shared" si="27"/>
        <v>3</v>
      </c>
    </row>
    <row r="216" spans="1:14" ht="18.75" customHeight="1">
      <c r="A216" s="40" t="s">
        <v>1001</v>
      </c>
      <c r="B216" s="40" t="s">
        <v>875</v>
      </c>
      <c r="C216" s="40"/>
      <c r="D216" s="55">
        <v>18</v>
      </c>
      <c r="E216" s="55">
        <v>1500</v>
      </c>
      <c r="F216" s="55">
        <v>921</v>
      </c>
      <c r="G216" s="40">
        <v>1</v>
      </c>
      <c r="H216" s="42">
        <f>F216*0.001*G216</f>
        <v>0.92100000000000004</v>
      </c>
      <c r="I216" s="40" t="s">
        <v>886</v>
      </c>
      <c r="J216" s="40">
        <f>VLOOKUP(D216,BM!$A$2:$X$57,12,FALSE)</f>
        <v>4.9000000000000004</v>
      </c>
      <c r="K216" s="40"/>
      <c r="L216" s="49">
        <f t="shared" si="28"/>
        <v>4.5129000000000001</v>
      </c>
      <c r="M216" s="40">
        <v>1</v>
      </c>
      <c r="N216" s="57">
        <f t="shared" si="27"/>
        <v>5.5129000000000001</v>
      </c>
    </row>
    <row r="217" spans="1:14" ht="18.75" customHeight="1">
      <c r="A217" s="40" t="s">
        <v>1002</v>
      </c>
      <c r="B217" s="40" t="s">
        <v>875</v>
      </c>
      <c r="C217" s="40"/>
      <c r="D217" s="55">
        <v>18</v>
      </c>
      <c r="E217" s="55">
        <v>1500</v>
      </c>
      <c r="F217" s="55">
        <v>921</v>
      </c>
      <c r="G217" s="40">
        <v>1</v>
      </c>
      <c r="H217" s="42">
        <f>F217*0.001*G217</f>
        <v>0.92100000000000004</v>
      </c>
      <c r="I217" s="40" t="s">
        <v>886</v>
      </c>
      <c r="J217" s="40">
        <f>VLOOKUP(D217,BM!$A$2:$X$57,18,FALSE)</f>
        <v>1</v>
      </c>
      <c r="K217" s="40"/>
      <c r="L217" s="49">
        <f t="shared" si="28"/>
        <v>0.92100000000000004</v>
      </c>
      <c r="M217" s="40">
        <v>1</v>
      </c>
      <c r="N217" s="57">
        <f t="shared" si="27"/>
        <v>1.921</v>
      </c>
    </row>
    <row r="218" spans="1:14" ht="18.75" customHeight="1">
      <c r="A218" s="40" t="s">
        <v>1003</v>
      </c>
      <c r="B218" s="40" t="s">
        <v>875</v>
      </c>
      <c r="C218" s="40"/>
      <c r="D218" s="55">
        <v>18</v>
      </c>
      <c r="E218" s="55">
        <v>1500</v>
      </c>
      <c r="F218" s="55">
        <v>921</v>
      </c>
      <c r="G218" s="40">
        <v>1</v>
      </c>
      <c r="H218" s="42">
        <f>F218*0.001*G218</f>
        <v>0.92100000000000004</v>
      </c>
      <c r="I218" s="40" t="s">
        <v>249</v>
      </c>
      <c r="J218" s="40">
        <f>VLOOKUP(D218,BM!$A$2:$X$57,12,FALSE)</f>
        <v>4.9000000000000004</v>
      </c>
      <c r="K218" s="40"/>
      <c r="L218" s="49">
        <f t="shared" si="28"/>
        <v>4.5129000000000001</v>
      </c>
      <c r="M218" s="40">
        <v>1</v>
      </c>
      <c r="N218" s="57">
        <f t="shared" si="27"/>
        <v>5.5129000000000001</v>
      </c>
    </row>
    <row r="219" spans="1:14" ht="18.75" customHeight="1">
      <c r="A219" s="40" t="s">
        <v>1004</v>
      </c>
      <c r="B219" s="40" t="s">
        <v>875</v>
      </c>
      <c r="C219" s="40"/>
      <c r="D219" s="55">
        <v>18</v>
      </c>
      <c r="E219" s="55">
        <v>1500</v>
      </c>
      <c r="F219" s="55">
        <v>921</v>
      </c>
      <c r="G219" s="40">
        <v>1</v>
      </c>
      <c r="H219" s="42">
        <f>F219*0.001*G219</f>
        <v>0.92100000000000004</v>
      </c>
      <c r="I219" s="40" t="s">
        <v>886</v>
      </c>
      <c r="J219" s="40">
        <f>VLOOKUP(D219,BM!$A$2:$X$57,20,FALSE)</f>
        <v>0.5</v>
      </c>
      <c r="K219" s="40"/>
      <c r="L219" s="49">
        <f t="shared" si="28"/>
        <v>0.46050000000000002</v>
      </c>
      <c r="M219" s="40">
        <v>1</v>
      </c>
      <c r="N219" s="57">
        <f t="shared" si="27"/>
        <v>1.4605000000000001</v>
      </c>
    </row>
    <row r="220" spans="1:14" ht="18.75" customHeight="1">
      <c r="A220" s="40" t="s">
        <v>1005</v>
      </c>
      <c r="B220" s="40" t="s">
        <v>875</v>
      </c>
      <c r="C220" s="40" t="s">
        <v>581</v>
      </c>
      <c r="D220" s="55">
        <v>18</v>
      </c>
      <c r="E220" s="55">
        <v>1500</v>
      </c>
      <c r="F220" s="55">
        <v>921</v>
      </c>
      <c r="G220" s="40">
        <v>1</v>
      </c>
      <c r="H220" s="42">
        <v>1</v>
      </c>
      <c r="I220" s="40" t="s">
        <v>39</v>
      </c>
      <c r="J220" s="40">
        <f>VLOOKUP(D220,BM!$A$2:$X$57,20,FALSE)</f>
        <v>0.5</v>
      </c>
      <c r="K220" s="40"/>
      <c r="L220" s="49">
        <f t="shared" si="28"/>
        <v>0.5</v>
      </c>
      <c r="M220" s="40">
        <v>1</v>
      </c>
      <c r="N220" s="57">
        <f t="shared" si="27"/>
        <v>1.5</v>
      </c>
    </row>
    <row r="221" spans="1:14" ht="18.75" customHeight="1">
      <c r="A221" s="40" t="s">
        <v>1006</v>
      </c>
      <c r="B221" s="40" t="s">
        <v>875</v>
      </c>
      <c r="C221" s="40" t="s">
        <v>581</v>
      </c>
      <c r="D221" s="55">
        <v>18</v>
      </c>
      <c r="E221" s="55">
        <v>1500</v>
      </c>
      <c r="F221" s="55">
        <v>921</v>
      </c>
      <c r="G221" s="40">
        <v>1</v>
      </c>
      <c r="H221" s="42">
        <v>1</v>
      </c>
      <c r="I221" s="40" t="s">
        <v>39</v>
      </c>
      <c r="J221" s="40">
        <v>1</v>
      </c>
      <c r="K221" s="40"/>
      <c r="L221" s="49">
        <f t="shared" si="28"/>
        <v>1</v>
      </c>
      <c r="M221" s="40"/>
      <c r="N221" s="57">
        <f t="shared" si="27"/>
        <v>1</v>
      </c>
    </row>
    <row r="222" spans="1:14" ht="18.75" customHeight="1">
      <c r="A222" s="34"/>
      <c r="B222" s="34"/>
      <c r="C222" s="34"/>
    </row>
    <row r="223" spans="1:14" ht="18.75" customHeight="1">
      <c r="A223" s="37" t="s">
        <v>866</v>
      </c>
      <c r="B223" s="38" t="s">
        <v>867</v>
      </c>
      <c r="C223" s="38"/>
      <c r="D223" s="39" t="s">
        <v>2</v>
      </c>
      <c r="E223" s="39" t="s">
        <v>908</v>
      </c>
      <c r="F223" s="39" t="s">
        <v>909</v>
      </c>
      <c r="G223" s="39" t="s">
        <v>4</v>
      </c>
      <c r="H223" s="39" t="s">
        <v>870</v>
      </c>
      <c r="I223" s="39" t="s">
        <v>5</v>
      </c>
      <c r="J223" s="39" t="s">
        <v>871</v>
      </c>
      <c r="K223" s="39" t="s">
        <v>5</v>
      </c>
      <c r="L223" s="39" t="s">
        <v>870</v>
      </c>
      <c r="M223" s="39" t="s">
        <v>872</v>
      </c>
      <c r="N223" s="39" t="s">
        <v>873</v>
      </c>
    </row>
    <row r="224" spans="1:14" ht="18.75" customHeight="1">
      <c r="A224" s="40" t="s">
        <v>1007</v>
      </c>
      <c r="B224" s="40" t="s">
        <v>875</v>
      </c>
      <c r="C224" s="40"/>
      <c r="D224" s="55">
        <v>18</v>
      </c>
      <c r="E224" s="55">
        <v>1500</v>
      </c>
      <c r="F224" s="55">
        <v>921</v>
      </c>
      <c r="G224" s="40">
        <v>1</v>
      </c>
      <c r="H224" s="42">
        <f>F224*0.001*G224</f>
        <v>0.92100000000000004</v>
      </c>
      <c r="I224" s="40" t="s">
        <v>886</v>
      </c>
      <c r="J224" s="40">
        <f>VLOOKUP(D224,BM!$A$2:$X$57,13,FALSE)</f>
        <v>0.45</v>
      </c>
      <c r="K224" s="40"/>
      <c r="L224" s="49">
        <f t="shared" si="28"/>
        <v>0.41445000000000004</v>
      </c>
      <c r="M224" s="40">
        <v>11</v>
      </c>
      <c r="N224" s="57">
        <f t="shared" si="27"/>
        <v>11.41445</v>
      </c>
    </row>
    <row r="225" spans="1:14" ht="18.75" customHeight="1">
      <c r="A225" s="40" t="s">
        <v>1008</v>
      </c>
      <c r="B225" s="40" t="s">
        <v>875</v>
      </c>
      <c r="C225" s="40"/>
      <c r="D225" s="55">
        <v>18</v>
      </c>
      <c r="E225" s="55">
        <v>1500</v>
      </c>
      <c r="F225" s="55">
        <v>921</v>
      </c>
      <c r="G225" s="40">
        <v>2</v>
      </c>
      <c r="H225" s="46">
        <f>(D225+E225)*3.142*0.001*G225</f>
        <v>9.5391119999999994</v>
      </c>
      <c r="I225" s="40" t="s">
        <v>886</v>
      </c>
      <c r="J225" s="40">
        <f>VLOOKUP(D225,BM!$A$2:$X$57,16,FALSE)</f>
        <v>1</v>
      </c>
      <c r="K225" s="40"/>
      <c r="L225" s="49">
        <f t="shared" si="28"/>
        <v>9.5391119999999994</v>
      </c>
      <c r="M225" s="40">
        <v>1</v>
      </c>
      <c r="N225" s="57">
        <f t="shared" si="27"/>
        <v>10.539111999999999</v>
      </c>
    </row>
    <row r="226" spans="1:14" ht="18.75" customHeight="1">
      <c r="A226" s="40" t="s">
        <v>1009</v>
      </c>
      <c r="B226" s="40" t="s">
        <v>875</v>
      </c>
      <c r="C226" s="40"/>
      <c r="D226" s="55">
        <v>12</v>
      </c>
      <c r="E226" s="55">
        <v>1500</v>
      </c>
      <c r="F226" s="55">
        <v>921</v>
      </c>
      <c r="G226" s="40">
        <v>2</v>
      </c>
      <c r="H226" s="46">
        <f>(D226+E226)*3.142*0.001*G226</f>
        <v>9.5014079999999996</v>
      </c>
      <c r="I226" s="40" t="s">
        <v>886</v>
      </c>
      <c r="J226" s="40">
        <f>VLOOKUP(D226,BM!$A$2:$X$57,17,FALSE)</f>
        <v>2.5</v>
      </c>
      <c r="K226" s="40"/>
      <c r="L226" s="49">
        <f t="shared" si="28"/>
        <v>23.753519999999998</v>
      </c>
      <c r="M226" s="40">
        <v>1</v>
      </c>
      <c r="N226" s="57">
        <f t="shared" si="27"/>
        <v>24.753519999999998</v>
      </c>
    </row>
    <row r="227" spans="1:14" ht="18.75" customHeight="1">
      <c r="A227" s="40" t="s">
        <v>1010</v>
      </c>
      <c r="B227" s="40" t="s">
        <v>875</v>
      </c>
      <c r="C227" s="40"/>
      <c r="D227" s="55">
        <v>18</v>
      </c>
      <c r="E227" s="55">
        <v>1500</v>
      </c>
      <c r="F227" s="55">
        <v>921</v>
      </c>
      <c r="G227" s="40">
        <v>2</v>
      </c>
      <c r="H227" s="46">
        <f>(D227+E227)*3.142*0.001*G227</f>
        <v>9.5391119999999994</v>
      </c>
      <c r="I227" s="40" t="s">
        <v>886</v>
      </c>
      <c r="J227" s="40">
        <f>VLOOKUP(D227,BM!$A$2:$X$57,18,FALSE)</f>
        <v>1</v>
      </c>
      <c r="K227" s="40"/>
      <c r="L227" s="49">
        <f t="shared" si="28"/>
        <v>9.5391119999999994</v>
      </c>
      <c r="M227" s="40">
        <v>1</v>
      </c>
      <c r="N227" s="57">
        <f t="shared" si="27"/>
        <v>10.539111999999999</v>
      </c>
    </row>
    <row r="228" spans="1:14" ht="18.75" customHeight="1">
      <c r="A228" s="40" t="s">
        <v>1011</v>
      </c>
      <c r="B228" s="40" t="s">
        <v>875</v>
      </c>
      <c r="C228" s="40"/>
      <c r="D228" s="55">
        <v>8</v>
      </c>
      <c r="E228" s="55">
        <v>1500</v>
      </c>
      <c r="F228" s="55">
        <v>921</v>
      </c>
      <c r="G228" s="40">
        <v>2</v>
      </c>
      <c r="H228" s="46">
        <f>(D228+E228)*3.142*0.001*G228</f>
        <v>9.4762719999999998</v>
      </c>
      <c r="I228" s="40" t="s">
        <v>886</v>
      </c>
      <c r="J228" s="40">
        <f>VLOOKUP(D228,BM!$A$2:$X$57,18,FALSE)</f>
        <v>1</v>
      </c>
      <c r="K228" s="40"/>
      <c r="L228" s="49">
        <f t="shared" si="28"/>
        <v>9.4762719999999998</v>
      </c>
      <c r="M228" s="40">
        <v>1</v>
      </c>
      <c r="N228" s="57">
        <f t="shared" si="27"/>
        <v>10.476272</v>
      </c>
    </row>
    <row r="229" spans="1:14" ht="18.75" customHeight="1">
      <c r="A229" s="40" t="s">
        <v>1012</v>
      </c>
      <c r="B229" s="40" t="s">
        <v>875</v>
      </c>
      <c r="C229" s="40"/>
      <c r="D229" s="55">
        <v>18</v>
      </c>
      <c r="E229" s="55">
        <v>1500</v>
      </c>
      <c r="F229" s="55">
        <v>921</v>
      </c>
      <c r="G229" s="40">
        <v>2</v>
      </c>
      <c r="H229" s="46">
        <f>(D229+E229)*3.142*0.001*G229</f>
        <v>9.5391119999999994</v>
      </c>
      <c r="I229" s="40" t="s">
        <v>886</v>
      </c>
      <c r="J229" s="40">
        <f>VLOOKUP(D229,BM!$A$2:$X$57,20,FALSE)</f>
        <v>0.5</v>
      </c>
      <c r="K229" s="40"/>
      <c r="L229" s="49">
        <f t="shared" si="28"/>
        <v>4.7695559999999997</v>
      </c>
      <c r="M229" s="40">
        <v>1</v>
      </c>
      <c r="N229" s="57">
        <f t="shared" si="27"/>
        <v>5.7695559999999997</v>
      </c>
    </row>
    <row r="230" spans="1:14" ht="18.75" customHeight="1">
      <c r="A230" s="40" t="s">
        <v>1013</v>
      </c>
      <c r="B230" s="40" t="s">
        <v>875</v>
      </c>
      <c r="C230" s="40" t="s">
        <v>581</v>
      </c>
      <c r="D230" s="55">
        <v>18</v>
      </c>
      <c r="E230" s="55">
        <v>1500</v>
      </c>
      <c r="F230" s="55">
        <v>921</v>
      </c>
      <c r="G230" s="40">
        <v>2</v>
      </c>
      <c r="H230" s="42">
        <v>1</v>
      </c>
      <c r="I230" s="40" t="s">
        <v>564</v>
      </c>
      <c r="J230" s="40">
        <v>1</v>
      </c>
      <c r="K230" s="40"/>
      <c r="L230" s="49"/>
      <c r="M230" s="40"/>
      <c r="N230" s="57" t="s">
        <v>902</v>
      </c>
    </row>
    <row r="231" spans="1:14" ht="18.75" customHeight="1">
      <c r="A231" s="34"/>
      <c r="B231" s="34"/>
      <c r="C231" s="34"/>
    </row>
    <row r="232" spans="1:14" ht="18.75" customHeight="1">
      <c r="A232" s="37" t="s">
        <v>866</v>
      </c>
      <c r="B232" s="38" t="s">
        <v>867</v>
      </c>
      <c r="C232" s="38"/>
      <c r="D232" s="39" t="s">
        <v>2</v>
      </c>
      <c r="E232" s="39" t="s">
        <v>908</v>
      </c>
      <c r="F232" s="39" t="s">
        <v>909</v>
      </c>
      <c r="G232" s="39" t="s">
        <v>4</v>
      </c>
      <c r="H232" s="39" t="s">
        <v>870</v>
      </c>
      <c r="I232" s="39" t="s">
        <v>5</v>
      </c>
      <c r="J232" s="39" t="s">
        <v>871</v>
      </c>
      <c r="K232" s="39" t="s">
        <v>5</v>
      </c>
      <c r="L232" s="39" t="s">
        <v>870</v>
      </c>
      <c r="M232" s="39" t="s">
        <v>872</v>
      </c>
      <c r="N232" s="39" t="s">
        <v>873</v>
      </c>
    </row>
    <row r="233" spans="1:14" ht="18.75" customHeight="1">
      <c r="A233" s="40" t="s">
        <v>1014</v>
      </c>
      <c r="B233" s="40" t="s">
        <v>875</v>
      </c>
      <c r="C233" s="40"/>
      <c r="D233" s="55">
        <v>18</v>
      </c>
      <c r="E233" s="55">
        <v>1500</v>
      </c>
      <c r="F233" s="55">
        <v>921</v>
      </c>
      <c r="G233" s="40">
        <v>1</v>
      </c>
      <c r="H233" s="42">
        <v>1</v>
      </c>
      <c r="I233" s="40" t="s">
        <v>564</v>
      </c>
      <c r="J233" s="40">
        <v>3</v>
      </c>
      <c r="K233" s="40"/>
      <c r="L233" s="49">
        <f t="shared" ref="L233:L281" si="30">H233*J233</f>
        <v>3</v>
      </c>
      <c r="M233" s="40">
        <v>1</v>
      </c>
      <c r="N233" s="57">
        <v>3</v>
      </c>
    </row>
    <row r="234" spans="1:14" ht="18.75" customHeight="1">
      <c r="A234" s="40" t="s">
        <v>1015</v>
      </c>
      <c r="B234" s="40" t="s">
        <v>581</v>
      </c>
      <c r="C234" s="40"/>
      <c r="D234" s="40" t="s">
        <v>695</v>
      </c>
      <c r="E234" s="40">
        <v>1500</v>
      </c>
      <c r="F234" s="40">
        <v>921</v>
      </c>
      <c r="G234" s="40">
        <v>2</v>
      </c>
      <c r="H234" s="42">
        <v>2</v>
      </c>
      <c r="I234" s="40" t="s">
        <v>564</v>
      </c>
      <c r="J234" s="40">
        <v>4</v>
      </c>
      <c r="K234" s="40"/>
      <c r="L234" s="49">
        <f t="shared" si="30"/>
        <v>8</v>
      </c>
      <c r="M234" s="40">
        <v>1</v>
      </c>
      <c r="N234" s="57">
        <f t="shared" ref="N234:N281" si="31">L234+M234</f>
        <v>9</v>
      </c>
    </row>
    <row r="235" spans="1:14" ht="18.75" customHeight="1">
      <c r="A235" s="40" t="s">
        <v>1016</v>
      </c>
      <c r="B235" s="40" t="s">
        <v>581</v>
      </c>
      <c r="C235" s="40"/>
      <c r="D235" s="40" t="s">
        <v>695</v>
      </c>
      <c r="E235" s="55">
        <v>1500</v>
      </c>
      <c r="F235" s="55">
        <v>921</v>
      </c>
      <c r="G235" s="40">
        <v>2</v>
      </c>
      <c r="H235" s="42">
        <v>2</v>
      </c>
      <c r="I235" s="40" t="s">
        <v>564</v>
      </c>
      <c r="J235" s="40">
        <v>4</v>
      </c>
      <c r="K235" s="40"/>
      <c r="L235" s="49">
        <f t="shared" si="30"/>
        <v>8</v>
      </c>
      <c r="M235" s="40">
        <v>1</v>
      </c>
      <c r="N235" s="57">
        <f t="shared" si="31"/>
        <v>9</v>
      </c>
    </row>
    <row r="236" spans="1:14" ht="18.75" customHeight="1">
      <c r="A236" s="40" t="s">
        <v>1017</v>
      </c>
      <c r="B236" s="40"/>
      <c r="C236" s="40"/>
      <c r="D236" s="55">
        <v>18</v>
      </c>
      <c r="E236" s="55">
        <v>1500</v>
      </c>
      <c r="F236" s="55">
        <v>921</v>
      </c>
      <c r="G236" s="40">
        <v>2</v>
      </c>
      <c r="H236" s="58">
        <f>16*25.4*3.142*0.001*G236</f>
        <v>2.5538175999999999</v>
      </c>
      <c r="I236" s="40" t="s">
        <v>886</v>
      </c>
      <c r="J236" s="40">
        <f>VLOOKUP(D236,BM!$A$2:$X$57,23,FALSE)</f>
        <v>6.8</v>
      </c>
      <c r="K236" s="40"/>
      <c r="L236" s="49">
        <f t="shared" si="30"/>
        <v>17.36595968</v>
      </c>
      <c r="M236" s="40">
        <v>1</v>
      </c>
      <c r="N236" s="57">
        <f t="shared" si="31"/>
        <v>18.36595968</v>
      </c>
    </row>
    <row r="237" spans="1:14" ht="18.75" customHeight="1">
      <c r="A237" s="40" t="s">
        <v>1018</v>
      </c>
      <c r="B237" s="40"/>
      <c r="C237" s="40"/>
      <c r="D237" s="55">
        <v>18</v>
      </c>
      <c r="E237" s="55">
        <v>1500</v>
      </c>
      <c r="F237" s="55">
        <v>921</v>
      </c>
      <c r="G237" s="40">
        <v>2</v>
      </c>
      <c r="H237" s="58">
        <f>16*25.4*3.142*0.001*G237</f>
        <v>2.5538175999999999</v>
      </c>
      <c r="I237" s="40" t="s">
        <v>886</v>
      </c>
      <c r="J237" s="40">
        <f>VLOOKUP(D237,BM!$A$2:$X$57,18,FALSE)</f>
        <v>1</v>
      </c>
      <c r="K237" s="40"/>
      <c r="L237" s="49">
        <f t="shared" si="30"/>
        <v>2.5538175999999999</v>
      </c>
      <c r="M237" s="40">
        <v>1</v>
      </c>
      <c r="N237" s="57">
        <f t="shared" si="31"/>
        <v>3.5538175999999999</v>
      </c>
    </row>
    <row r="238" spans="1:14" ht="18.75" customHeight="1">
      <c r="A238" s="40" t="s">
        <v>1019</v>
      </c>
      <c r="B238" s="40"/>
      <c r="C238" s="40"/>
      <c r="D238" s="55">
        <v>10</v>
      </c>
      <c r="E238" s="55">
        <v>1500</v>
      </c>
      <c r="F238" s="55">
        <v>921</v>
      </c>
      <c r="G238" s="40">
        <v>2</v>
      </c>
      <c r="H238" s="58">
        <f>16*25.4*3.142*0.001*G238</f>
        <v>2.5538175999999999</v>
      </c>
      <c r="I238" s="40" t="s">
        <v>886</v>
      </c>
      <c r="J238" s="40">
        <f>VLOOKUP(D238,BM!$A$2:$X$57,22,FALSE)</f>
        <v>1.2</v>
      </c>
      <c r="K238" s="40"/>
      <c r="L238" s="49">
        <f t="shared" si="30"/>
        <v>3.0645811199999997</v>
      </c>
      <c r="M238" s="40">
        <v>1</v>
      </c>
      <c r="N238" s="57">
        <f t="shared" si="31"/>
        <v>4.0645811199999997</v>
      </c>
    </row>
    <row r="239" spans="1:14" ht="18.75" customHeight="1">
      <c r="A239" s="40" t="s">
        <v>1020</v>
      </c>
      <c r="B239" s="40"/>
      <c r="C239" s="40"/>
      <c r="D239" s="55">
        <v>8</v>
      </c>
      <c r="E239" s="55">
        <v>1500</v>
      </c>
      <c r="F239" s="55">
        <v>921</v>
      </c>
      <c r="G239" s="40">
        <v>2</v>
      </c>
      <c r="H239" s="58">
        <f>16*25.4*3.142*0.001*G239</f>
        <v>2.5538175999999999</v>
      </c>
      <c r="I239" s="40" t="s">
        <v>886</v>
      </c>
      <c r="J239" s="40">
        <f>VLOOKUP(D239,BM!$A$2:$X$57,20,FALSE)</f>
        <v>0.5</v>
      </c>
      <c r="K239" s="40"/>
      <c r="L239" s="49">
        <f t="shared" si="30"/>
        <v>1.2769088</v>
      </c>
      <c r="M239" s="40">
        <v>1</v>
      </c>
      <c r="N239" s="57">
        <f t="shared" si="31"/>
        <v>2.2769088000000002</v>
      </c>
    </row>
    <row r="240" spans="1:14" ht="18.75" customHeight="1">
      <c r="A240" s="34"/>
      <c r="B240" s="34"/>
      <c r="C240" s="34"/>
    </row>
    <row r="241" spans="1:14" ht="18.75" customHeight="1">
      <c r="A241" s="34"/>
      <c r="B241" s="34"/>
      <c r="C241" s="34"/>
    </row>
    <row r="242" spans="1:14" ht="18.75" customHeight="1">
      <c r="A242" s="37" t="s">
        <v>866</v>
      </c>
      <c r="B242" s="38" t="s">
        <v>867</v>
      </c>
      <c r="C242" s="38"/>
      <c r="D242" s="39" t="s">
        <v>2</v>
      </c>
      <c r="E242" s="39" t="s">
        <v>908</v>
      </c>
      <c r="F242" s="39" t="s">
        <v>909</v>
      </c>
      <c r="G242" s="39" t="s">
        <v>4</v>
      </c>
      <c r="H242" s="39" t="s">
        <v>870</v>
      </c>
      <c r="I242" s="39" t="s">
        <v>5</v>
      </c>
      <c r="J242" s="39" t="s">
        <v>871</v>
      </c>
      <c r="K242" s="39" t="s">
        <v>5</v>
      </c>
      <c r="L242" s="39" t="s">
        <v>870</v>
      </c>
      <c r="M242" s="39" t="s">
        <v>872</v>
      </c>
      <c r="N242" s="39" t="s">
        <v>873</v>
      </c>
    </row>
    <row r="243" spans="1:14" ht="18.75" customHeight="1">
      <c r="A243" s="40" t="s">
        <v>1021</v>
      </c>
      <c r="B243" s="40" t="s">
        <v>875</v>
      </c>
      <c r="C243" s="40"/>
      <c r="D243" s="55">
        <v>25</v>
      </c>
      <c r="E243" s="55">
        <v>735</v>
      </c>
      <c r="F243" s="56">
        <v>1275</v>
      </c>
      <c r="G243" s="55">
        <v>1</v>
      </c>
      <c r="H243" s="46">
        <f>(E243*2*0.001+F243*2*0.001)*G243</f>
        <v>4.0200000000000005</v>
      </c>
      <c r="I243" s="40" t="s">
        <v>886</v>
      </c>
      <c r="J243" s="40">
        <f>VLOOKUP(D243,BM!$A$2:$X$57,2,FALSE)</f>
        <v>0.1</v>
      </c>
      <c r="K243" s="40" t="s">
        <v>911</v>
      </c>
      <c r="L243" s="49">
        <f>H243*J243</f>
        <v>0.40200000000000008</v>
      </c>
      <c r="M243" s="40">
        <v>1</v>
      </c>
      <c r="N243" s="57">
        <f>L243+M243</f>
        <v>1.4020000000000001</v>
      </c>
    </row>
    <row r="244" spans="1:14" ht="18.75" customHeight="1">
      <c r="A244" s="40" t="s">
        <v>1021</v>
      </c>
      <c r="B244" s="40" t="s">
        <v>875</v>
      </c>
      <c r="C244" s="40"/>
      <c r="D244" s="55">
        <v>25</v>
      </c>
      <c r="E244" s="55">
        <v>1080</v>
      </c>
      <c r="F244" s="56">
        <v>1275</v>
      </c>
      <c r="G244" s="55">
        <v>1</v>
      </c>
      <c r="H244" s="46">
        <f t="shared" ref="H244:H246" si="32">(E244*2*0.001+F244*2*0.001)*G244</f>
        <v>4.7100000000000009</v>
      </c>
      <c r="I244" s="40" t="s">
        <v>886</v>
      </c>
      <c r="J244" s="40">
        <f>VLOOKUP(D244,BM!$A$2:$X$57,2,FALSE)</f>
        <v>0.1</v>
      </c>
      <c r="K244" s="40" t="s">
        <v>911</v>
      </c>
      <c r="L244" s="49">
        <f t="shared" ref="L244:L249" si="33">H244*J244</f>
        <v>0.47100000000000009</v>
      </c>
      <c r="M244" s="40">
        <v>1</v>
      </c>
      <c r="N244" s="57">
        <f t="shared" ref="N244:N249" si="34">L244+M244</f>
        <v>1.4710000000000001</v>
      </c>
    </row>
    <row r="245" spans="1:14" ht="18.75" customHeight="1">
      <c r="A245" s="40" t="s">
        <v>1021</v>
      </c>
      <c r="B245" s="40" t="s">
        <v>875</v>
      </c>
      <c r="C245" s="40"/>
      <c r="D245" s="55">
        <v>25</v>
      </c>
      <c r="E245" s="55">
        <v>543</v>
      </c>
      <c r="F245" s="56">
        <v>1275</v>
      </c>
      <c r="G245" s="55">
        <v>1</v>
      </c>
      <c r="H245" s="46">
        <f t="shared" si="32"/>
        <v>3.6360000000000001</v>
      </c>
      <c r="I245" s="40" t="s">
        <v>886</v>
      </c>
      <c r="J245" s="40">
        <f>VLOOKUP(D245,BM!$A$2:$X$57,2,FALSE)</f>
        <v>0.1</v>
      </c>
      <c r="K245" s="40" t="s">
        <v>911</v>
      </c>
      <c r="L245" s="49">
        <f t="shared" si="33"/>
        <v>0.36360000000000003</v>
      </c>
      <c r="M245" s="40">
        <v>1</v>
      </c>
      <c r="N245" s="57">
        <f t="shared" si="34"/>
        <v>1.3635999999999999</v>
      </c>
    </row>
    <row r="246" spans="1:14" ht="18.75" customHeight="1">
      <c r="A246" s="40" t="s">
        <v>1021</v>
      </c>
      <c r="B246" s="40" t="s">
        <v>875</v>
      </c>
      <c r="C246" s="40"/>
      <c r="D246" s="55">
        <v>25</v>
      </c>
      <c r="E246" s="55">
        <v>522</v>
      </c>
      <c r="F246" s="56">
        <v>1275</v>
      </c>
      <c r="G246" s="55">
        <v>1</v>
      </c>
      <c r="H246" s="46">
        <f t="shared" si="32"/>
        <v>3.5940000000000003</v>
      </c>
      <c r="I246" s="40" t="s">
        <v>886</v>
      </c>
      <c r="J246" s="40">
        <f>VLOOKUP(D246,BM!$A$2:$X$57,2,FALSE)</f>
        <v>0.1</v>
      </c>
      <c r="K246" s="40" t="s">
        <v>911</v>
      </c>
      <c r="L246" s="49">
        <f t="shared" si="33"/>
        <v>0.35940000000000005</v>
      </c>
      <c r="M246" s="40">
        <v>1</v>
      </c>
      <c r="N246" s="57">
        <f t="shared" si="34"/>
        <v>1.3593999999999999</v>
      </c>
    </row>
    <row r="247" spans="1:14" ht="18.75" customHeight="1">
      <c r="A247" s="40" t="s">
        <v>1022</v>
      </c>
      <c r="B247" s="40" t="s">
        <v>875</v>
      </c>
      <c r="C247" s="40"/>
      <c r="D247" s="55">
        <v>25</v>
      </c>
      <c r="E247" s="55"/>
      <c r="F247" s="56"/>
      <c r="G247" s="55"/>
      <c r="H247" s="59">
        <f>SUM(H243:H246)</f>
        <v>15.96</v>
      </c>
      <c r="I247" s="40" t="s">
        <v>886</v>
      </c>
      <c r="J247" s="40">
        <f>VLOOKUP(D247,BM!$A$2:$X$57,3,FALSE)</f>
        <v>0.25</v>
      </c>
      <c r="K247" s="40" t="s">
        <v>911</v>
      </c>
      <c r="L247" s="49">
        <f t="shared" si="33"/>
        <v>3.99</v>
      </c>
      <c r="M247" s="40">
        <v>1</v>
      </c>
      <c r="N247" s="57">
        <f t="shared" si="34"/>
        <v>4.99</v>
      </c>
    </row>
    <row r="248" spans="1:14" ht="18.75" customHeight="1">
      <c r="A248" s="40" t="s">
        <v>1023</v>
      </c>
      <c r="B248" s="40" t="s">
        <v>875</v>
      </c>
      <c r="C248" s="40"/>
      <c r="D248" s="55">
        <v>25</v>
      </c>
      <c r="E248" s="55"/>
      <c r="F248" s="56"/>
      <c r="G248" s="55">
        <v>1</v>
      </c>
      <c r="H248" s="59">
        <f>H247</f>
        <v>15.96</v>
      </c>
      <c r="I248" s="40" t="s">
        <v>886</v>
      </c>
      <c r="J248" s="40">
        <f>VLOOKUP(D248,BM!$A$2:$X$57,4,FALSE)</f>
        <v>0.15</v>
      </c>
      <c r="K248" s="40" t="s">
        <v>911</v>
      </c>
      <c r="L248" s="49">
        <f t="shared" si="33"/>
        <v>2.3940000000000001</v>
      </c>
      <c r="M248" s="40">
        <v>1</v>
      </c>
      <c r="N248" s="57">
        <f t="shared" si="34"/>
        <v>3.3940000000000001</v>
      </c>
    </row>
    <row r="249" spans="1:14" ht="18.75" customHeight="1">
      <c r="A249" s="40" t="s">
        <v>1024</v>
      </c>
      <c r="B249" s="40" t="s">
        <v>875</v>
      </c>
      <c r="C249" s="40" t="s">
        <v>581</v>
      </c>
      <c r="D249" s="55">
        <v>25</v>
      </c>
      <c r="E249" s="55"/>
      <c r="F249" s="56"/>
      <c r="G249" s="55"/>
      <c r="H249" s="46">
        <v>4</v>
      </c>
      <c r="I249" s="40" t="s">
        <v>81</v>
      </c>
      <c r="J249" s="40">
        <v>2</v>
      </c>
      <c r="K249" s="40" t="s">
        <v>39</v>
      </c>
      <c r="L249" s="49">
        <f t="shared" si="33"/>
        <v>8</v>
      </c>
      <c r="M249" s="40">
        <v>1</v>
      </c>
      <c r="N249" s="57">
        <f t="shared" si="34"/>
        <v>9</v>
      </c>
    </row>
    <row r="250" spans="1:14" ht="18.75" customHeight="1">
      <c r="A250" s="40" t="s">
        <v>1025</v>
      </c>
      <c r="B250" s="40" t="s">
        <v>875</v>
      </c>
      <c r="C250" s="40"/>
      <c r="D250" s="55">
        <v>16</v>
      </c>
      <c r="E250" s="55"/>
      <c r="F250" s="56">
        <v>1291</v>
      </c>
      <c r="G250" s="55">
        <v>8</v>
      </c>
      <c r="H250" s="46">
        <f>F250*G250*0.001</f>
        <v>10.327999999999999</v>
      </c>
      <c r="I250" s="40" t="s">
        <v>886</v>
      </c>
      <c r="J250" s="40">
        <f>VLOOKUP(D250,BM!$A$2:$X$57,23,FALSE)</f>
        <v>5.6</v>
      </c>
      <c r="K250" s="40" t="s">
        <v>911</v>
      </c>
      <c r="L250" s="49">
        <f t="shared" ref="L250:L253" si="35">H250*J250</f>
        <v>57.83679999999999</v>
      </c>
      <c r="M250" s="40">
        <v>1</v>
      </c>
      <c r="N250" s="57">
        <f t="shared" ref="N250:N253" si="36">L250+M250</f>
        <v>58.83679999999999</v>
      </c>
    </row>
    <row r="251" spans="1:14" ht="18.75" customHeight="1">
      <c r="A251" s="40" t="s">
        <v>947</v>
      </c>
      <c r="B251" s="40"/>
      <c r="C251" s="41" t="s">
        <v>581</v>
      </c>
      <c r="D251" s="50"/>
      <c r="E251" s="50"/>
      <c r="F251" s="50"/>
      <c r="G251" s="50"/>
      <c r="H251" s="45">
        <v>1</v>
      </c>
      <c r="I251" s="45" t="s">
        <v>81</v>
      </c>
      <c r="J251" s="49">
        <v>6</v>
      </c>
      <c r="K251" s="40" t="s">
        <v>87</v>
      </c>
      <c r="L251" s="46">
        <f t="shared" si="35"/>
        <v>6</v>
      </c>
      <c r="M251" s="46">
        <v>1</v>
      </c>
      <c r="N251" s="46">
        <f t="shared" si="36"/>
        <v>7</v>
      </c>
    </row>
    <row r="252" spans="1:14" ht="18.75" customHeight="1">
      <c r="A252" s="40" t="s">
        <v>948</v>
      </c>
      <c r="B252" s="40"/>
      <c r="C252" s="41" t="s">
        <v>581</v>
      </c>
      <c r="D252" s="50">
        <v>12</v>
      </c>
      <c r="E252" s="50"/>
      <c r="F252" s="50"/>
      <c r="G252" s="50"/>
      <c r="H252" s="45">
        <v>1</v>
      </c>
      <c r="I252" s="45" t="s">
        <v>81</v>
      </c>
      <c r="J252" s="49">
        <v>4</v>
      </c>
      <c r="K252" s="40" t="s">
        <v>87</v>
      </c>
      <c r="L252" s="46">
        <f t="shared" si="35"/>
        <v>4</v>
      </c>
      <c r="M252" s="46">
        <v>1</v>
      </c>
      <c r="N252" s="46">
        <f t="shared" si="36"/>
        <v>5</v>
      </c>
    </row>
    <row r="253" spans="1:14" ht="18.75" customHeight="1">
      <c r="A253" s="40" t="s">
        <v>1026</v>
      </c>
      <c r="B253" s="40"/>
      <c r="C253" s="41" t="s">
        <v>581</v>
      </c>
      <c r="D253" s="50"/>
      <c r="E253" s="50"/>
      <c r="F253" s="50"/>
      <c r="G253" s="50"/>
      <c r="H253" s="45">
        <v>1</v>
      </c>
      <c r="I253" s="45" t="s">
        <v>81</v>
      </c>
      <c r="J253" s="49">
        <v>12</v>
      </c>
      <c r="K253" s="40" t="s">
        <v>87</v>
      </c>
      <c r="L253" s="46">
        <f t="shared" si="35"/>
        <v>12</v>
      </c>
      <c r="M253" s="46">
        <v>1</v>
      </c>
      <c r="N253" s="46">
        <f t="shared" si="36"/>
        <v>13</v>
      </c>
    </row>
    <row r="254" spans="1:14" ht="18.75" customHeight="1">
      <c r="A254" s="34"/>
      <c r="B254" s="34"/>
      <c r="C254" s="34"/>
    </row>
    <row r="255" spans="1:14" ht="18.75" customHeight="1">
      <c r="A255" s="37" t="s">
        <v>866</v>
      </c>
      <c r="B255" s="38" t="s">
        <v>867</v>
      </c>
      <c r="C255" s="38"/>
      <c r="D255" s="39" t="s">
        <v>2</v>
      </c>
      <c r="E255" s="39" t="s">
        <v>908</v>
      </c>
      <c r="F255" s="39" t="s">
        <v>909</v>
      </c>
      <c r="G255" s="39" t="s">
        <v>4</v>
      </c>
      <c r="H255" s="39" t="s">
        <v>870</v>
      </c>
      <c r="I255" s="39" t="s">
        <v>5</v>
      </c>
      <c r="J255" s="39" t="s">
        <v>871</v>
      </c>
      <c r="K255" s="39" t="s">
        <v>5</v>
      </c>
      <c r="L255" s="39" t="s">
        <v>870</v>
      </c>
      <c r="M255" s="39" t="s">
        <v>872</v>
      </c>
      <c r="N255" s="39" t="s">
        <v>873</v>
      </c>
    </row>
    <row r="256" spans="1:14" ht="18.75" customHeight="1">
      <c r="A256" s="40" t="s">
        <v>1027</v>
      </c>
      <c r="B256" s="40" t="s">
        <v>875</v>
      </c>
      <c r="C256" s="40"/>
      <c r="D256" s="40">
        <v>35</v>
      </c>
      <c r="E256" s="55">
        <v>1445</v>
      </c>
      <c r="F256" s="45"/>
      <c r="G256" s="40">
        <v>1</v>
      </c>
      <c r="H256" s="59">
        <f>E256*1.18/1000*G256</f>
        <v>1.7050999999999998</v>
      </c>
      <c r="I256" s="40" t="s">
        <v>886</v>
      </c>
      <c r="J256" s="40">
        <f>VLOOKUP(D256,BM!$A$2:$X$57,2,FALSE)</f>
        <v>0.1</v>
      </c>
      <c r="K256" s="40"/>
      <c r="L256" s="59">
        <f t="shared" si="30"/>
        <v>0.17050999999999999</v>
      </c>
      <c r="M256" s="40">
        <v>1</v>
      </c>
      <c r="N256" s="60">
        <f t="shared" si="31"/>
        <v>1.1705099999999999</v>
      </c>
    </row>
    <row r="257" spans="1:14" ht="18.75" customHeight="1">
      <c r="A257" s="40" t="s">
        <v>1028</v>
      </c>
      <c r="B257" s="40" t="s">
        <v>875</v>
      </c>
      <c r="C257" s="40"/>
      <c r="D257" s="40">
        <v>30</v>
      </c>
      <c r="E257" s="55">
        <v>1445</v>
      </c>
      <c r="F257" s="45"/>
      <c r="G257" s="40">
        <v>1</v>
      </c>
      <c r="H257" s="59">
        <f t="shared" ref="H257:H260" si="37">E257*1.18/1000*G257</f>
        <v>1.7050999999999998</v>
      </c>
      <c r="I257" s="40" t="s">
        <v>886</v>
      </c>
      <c r="J257" s="40">
        <f>VLOOKUP(D257,BM!$A$2:$X$57,3,FALSE)</f>
        <v>0.25</v>
      </c>
      <c r="K257" s="40"/>
      <c r="L257" s="59">
        <f t="shared" si="30"/>
        <v>0.42627499999999996</v>
      </c>
      <c r="M257" s="40">
        <v>1</v>
      </c>
      <c r="N257" s="60">
        <f t="shared" si="31"/>
        <v>1.426275</v>
      </c>
    </row>
    <row r="258" spans="1:14" ht="18.75" customHeight="1">
      <c r="A258" s="40" t="s">
        <v>1029</v>
      </c>
      <c r="B258" s="40" t="s">
        <v>875</v>
      </c>
      <c r="C258" s="40"/>
      <c r="D258" s="40">
        <v>30</v>
      </c>
      <c r="E258" s="55">
        <v>1445</v>
      </c>
      <c r="F258" s="45"/>
      <c r="G258" s="40">
        <v>1</v>
      </c>
      <c r="H258" s="59">
        <f t="shared" si="37"/>
        <v>1.7050999999999998</v>
      </c>
      <c r="I258" s="40" t="s">
        <v>886</v>
      </c>
      <c r="J258" s="40">
        <f>VLOOKUP(D258,BM!$A$2:$X$57,4,FALSE)</f>
        <v>0.15</v>
      </c>
      <c r="K258" s="40"/>
      <c r="L258" s="59">
        <f t="shared" si="30"/>
        <v>0.25576499999999996</v>
      </c>
      <c r="M258" s="40">
        <v>1</v>
      </c>
      <c r="N258" s="60">
        <f t="shared" si="31"/>
        <v>1.255765</v>
      </c>
    </row>
    <row r="259" spans="1:14" ht="18.75" customHeight="1">
      <c r="A259" s="40" t="s">
        <v>1030</v>
      </c>
      <c r="B259" s="40" t="s">
        <v>875</v>
      </c>
      <c r="C259" s="40" t="s">
        <v>581</v>
      </c>
      <c r="D259" s="40">
        <v>30</v>
      </c>
      <c r="E259" s="55">
        <v>1445</v>
      </c>
      <c r="F259" s="45"/>
      <c r="G259" s="40">
        <v>1</v>
      </c>
      <c r="H259" s="59">
        <f t="shared" si="37"/>
        <v>1.7050999999999998</v>
      </c>
      <c r="I259" s="40" t="s">
        <v>564</v>
      </c>
      <c r="J259" s="40">
        <v>10</v>
      </c>
      <c r="K259" s="40" t="s">
        <v>1031</v>
      </c>
      <c r="L259" s="59"/>
      <c r="M259" s="40"/>
      <c r="N259" s="60" t="s">
        <v>1032</v>
      </c>
    </row>
    <row r="260" spans="1:14" ht="18.75" customHeight="1">
      <c r="A260" s="40" t="s">
        <v>1033</v>
      </c>
      <c r="B260" s="40" t="s">
        <v>875</v>
      </c>
      <c r="C260" s="40"/>
      <c r="D260" s="40">
        <v>30</v>
      </c>
      <c r="E260" s="55">
        <v>1445</v>
      </c>
      <c r="F260" s="45"/>
      <c r="G260" s="40">
        <v>1</v>
      </c>
      <c r="H260" s="59">
        <f t="shared" si="37"/>
        <v>1.7050999999999998</v>
      </c>
      <c r="I260" s="40" t="s">
        <v>886</v>
      </c>
      <c r="J260" s="40">
        <f>VLOOKUP(D260,BM!$A$2:$X$57,2,FALSE)</f>
        <v>0.1</v>
      </c>
      <c r="K260" s="40"/>
      <c r="L260" s="59">
        <f t="shared" ref="L260:L269" si="38">H260*J260</f>
        <v>0.17050999999999999</v>
      </c>
      <c r="M260" s="40">
        <v>1</v>
      </c>
      <c r="N260" s="60">
        <f t="shared" ref="N260:N269" si="39">L260+M260</f>
        <v>1.1705099999999999</v>
      </c>
    </row>
    <row r="261" spans="1:14" ht="18.75" customHeight="1">
      <c r="A261" s="40" t="s">
        <v>1028</v>
      </c>
      <c r="B261" s="40" t="s">
        <v>875</v>
      </c>
      <c r="C261" s="40"/>
      <c r="D261" s="40">
        <v>30</v>
      </c>
      <c r="E261" s="55">
        <v>1445</v>
      </c>
      <c r="F261" s="45"/>
      <c r="G261" s="40">
        <v>1</v>
      </c>
      <c r="H261" s="59">
        <f>E261*3.142*G261*0.001</f>
        <v>4.5401899999999999</v>
      </c>
      <c r="I261" s="40" t="s">
        <v>886</v>
      </c>
      <c r="J261" s="40">
        <f>VLOOKUP(D261,BM!$A$2:$X$57,3,FALSE)</f>
        <v>0.25</v>
      </c>
      <c r="K261" s="40"/>
      <c r="L261" s="59">
        <f t="shared" si="38"/>
        <v>1.1350475</v>
      </c>
      <c r="M261" s="40">
        <v>1</v>
      </c>
      <c r="N261" s="60">
        <f t="shared" si="39"/>
        <v>2.1350474999999998</v>
      </c>
    </row>
    <row r="262" spans="1:14" ht="18.75" customHeight="1">
      <c r="A262" s="40" t="s">
        <v>1034</v>
      </c>
      <c r="B262" s="40" t="s">
        <v>875</v>
      </c>
      <c r="C262" s="40"/>
      <c r="D262" s="40">
        <v>30</v>
      </c>
      <c r="E262" s="55">
        <v>1445</v>
      </c>
      <c r="F262" s="45" t="s">
        <v>1035</v>
      </c>
      <c r="G262" s="40">
        <v>2</v>
      </c>
      <c r="H262" s="59">
        <f>E262*3.142*G262*0.001</f>
        <v>9.0803799999999999</v>
      </c>
      <c r="I262" s="40" t="s">
        <v>886</v>
      </c>
      <c r="J262" s="40">
        <f>VLOOKUP(D262,BM!$A$2:$X$57,5,FALSE)</f>
        <v>0.5</v>
      </c>
      <c r="K262" s="40"/>
      <c r="L262" s="59">
        <f t="shared" si="38"/>
        <v>4.5401899999999999</v>
      </c>
      <c r="M262" s="40">
        <v>1</v>
      </c>
      <c r="N262" s="60">
        <f t="shared" si="39"/>
        <v>5.5401899999999999</v>
      </c>
    </row>
    <row r="263" spans="1:14" ht="18.75" customHeight="1">
      <c r="A263" s="40" t="s">
        <v>1036</v>
      </c>
      <c r="B263" s="40" t="s">
        <v>875</v>
      </c>
      <c r="C263" s="40"/>
      <c r="D263" s="40">
        <v>30</v>
      </c>
      <c r="E263" s="55">
        <f>1450</f>
        <v>1450</v>
      </c>
      <c r="F263" s="45"/>
      <c r="G263" s="40">
        <v>2</v>
      </c>
      <c r="H263" s="59">
        <f t="shared" ref="H263:H265" si="40">E263*3.142*G263*0.001</f>
        <v>9.1117999999999988</v>
      </c>
      <c r="I263" s="40" t="s">
        <v>886</v>
      </c>
      <c r="J263" s="40">
        <f>VLOOKUP(D263,BM!$A$2:$X$57,6,FALSE)</f>
        <v>1</v>
      </c>
      <c r="K263" s="40"/>
      <c r="L263" s="59">
        <f t="shared" si="38"/>
        <v>9.1117999999999988</v>
      </c>
      <c r="M263" s="40">
        <v>1</v>
      </c>
      <c r="N263" s="60">
        <f t="shared" si="39"/>
        <v>10.111799999999999</v>
      </c>
    </row>
    <row r="264" spans="1:14" ht="18.75" customHeight="1">
      <c r="A264" s="40" t="s">
        <v>1037</v>
      </c>
      <c r="B264" s="40" t="s">
        <v>875</v>
      </c>
      <c r="C264" s="40"/>
      <c r="D264" s="40">
        <v>30</v>
      </c>
      <c r="E264" s="55">
        <f>1450</f>
        <v>1450</v>
      </c>
      <c r="F264" s="45" t="s">
        <v>1035</v>
      </c>
      <c r="G264" s="40">
        <v>1</v>
      </c>
      <c r="H264" s="59">
        <f t="shared" si="40"/>
        <v>4.5558999999999994</v>
      </c>
      <c r="I264" s="40" t="s">
        <v>886</v>
      </c>
      <c r="J264" s="40">
        <f>VLOOKUP(D264,BM!$A$2:$X$57,16,FALSE)</f>
        <v>1</v>
      </c>
      <c r="K264" s="40"/>
      <c r="L264" s="59">
        <f t="shared" si="38"/>
        <v>4.5558999999999994</v>
      </c>
      <c r="M264" s="40">
        <v>1</v>
      </c>
      <c r="N264" s="60">
        <f t="shared" si="39"/>
        <v>5.5558999999999994</v>
      </c>
    </row>
    <row r="265" spans="1:14" ht="18.75" customHeight="1">
      <c r="A265" s="40" t="s">
        <v>1038</v>
      </c>
      <c r="B265" s="40" t="s">
        <v>875</v>
      </c>
      <c r="C265" s="40"/>
      <c r="D265" s="40">
        <v>16</v>
      </c>
      <c r="E265" s="55">
        <f>1450</f>
        <v>1450</v>
      </c>
      <c r="F265" s="45"/>
      <c r="G265" s="40">
        <v>1</v>
      </c>
      <c r="H265" s="59">
        <f t="shared" si="40"/>
        <v>4.5558999999999994</v>
      </c>
      <c r="I265" s="40" t="s">
        <v>886</v>
      </c>
      <c r="J265" s="40">
        <f>VLOOKUP(D265,BM!$A$2:$X$57,23,FALSE)</f>
        <v>5.6</v>
      </c>
      <c r="K265" s="40"/>
      <c r="L265" s="59">
        <f t="shared" si="38"/>
        <v>25.513039999999997</v>
      </c>
      <c r="M265" s="40">
        <v>1</v>
      </c>
      <c r="N265" s="60">
        <f t="shared" si="39"/>
        <v>26.513039999999997</v>
      </c>
    </row>
    <row r="266" spans="1:14" ht="18.75" customHeight="1">
      <c r="A266" s="40" t="s">
        <v>1039</v>
      </c>
      <c r="B266" s="40" t="s">
        <v>875</v>
      </c>
      <c r="C266" s="40"/>
      <c r="D266" s="55">
        <v>25</v>
      </c>
      <c r="E266" s="55">
        <v>300</v>
      </c>
      <c r="F266" s="56">
        <v>1450</v>
      </c>
      <c r="G266" s="55">
        <v>1</v>
      </c>
      <c r="H266" s="46">
        <f>(E266*2*0.001+F266*2*0.001)*G266</f>
        <v>3.5</v>
      </c>
      <c r="I266" s="40" t="s">
        <v>886</v>
      </c>
      <c r="J266" s="40">
        <f>VLOOKUP(D266,BM!$A$2:$X$57,2,FALSE)</f>
        <v>0.1</v>
      </c>
      <c r="K266" s="40" t="s">
        <v>911</v>
      </c>
      <c r="L266" s="49">
        <f t="shared" si="38"/>
        <v>0.35000000000000003</v>
      </c>
      <c r="M266" s="40">
        <v>1</v>
      </c>
      <c r="N266" s="57">
        <f t="shared" si="39"/>
        <v>1.35</v>
      </c>
    </row>
    <row r="267" spans="1:14" ht="18.75" customHeight="1">
      <c r="A267" s="40" t="s">
        <v>1040</v>
      </c>
      <c r="B267" s="40" t="s">
        <v>875</v>
      </c>
      <c r="C267" s="40"/>
      <c r="D267" s="55">
        <v>25</v>
      </c>
      <c r="E267" s="55">
        <v>300</v>
      </c>
      <c r="F267" s="56">
        <v>1450</v>
      </c>
      <c r="G267" s="55">
        <v>1</v>
      </c>
      <c r="H267" s="46">
        <f>(E267*2*0.001+F267*2*0.001)*G267</f>
        <v>3.5</v>
      </c>
      <c r="I267" s="40" t="s">
        <v>886</v>
      </c>
      <c r="J267" s="40">
        <f>VLOOKUP(D267,BM!$A$2:$X$57,3,FALSE)</f>
        <v>0.25</v>
      </c>
      <c r="K267" s="40" t="s">
        <v>911</v>
      </c>
      <c r="L267" s="49">
        <f t="shared" si="38"/>
        <v>0.875</v>
      </c>
      <c r="M267" s="40">
        <v>1</v>
      </c>
      <c r="N267" s="57">
        <f t="shared" si="39"/>
        <v>1.875</v>
      </c>
    </row>
    <row r="268" spans="1:14" ht="18.75" customHeight="1">
      <c r="A268" s="40" t="s">
        <v>1041</v>
      </c>
      <c r="B268" s="40" t="s">
        <v>875</v>
      </c>
      <c r="C268" s="40"/>
      <c r="D268" s="55">
        <v>25</v>
      </c>
      <c r="E268" s="55">
        <v>300</v>
      </c>
      <c r="F268" s="56">
        <v>1450</v>
      </c>
      <c r="G268" s="55">
        <v>1</v>
      </c>
      <c r="H268" s="59">
        <f>H267</f>
        <v>3.5</v>
      </c>
      <c r="I268" s="40" t="s">
        <v>886</v>
      </c>
      <c r="J268" s="40">
        <f>VLOOKUP(D268,BM!$A$2:$X$57,4,FALSE)</f>
        <v>0.15</v>
      </c>
      <c r="K268" s="40" t="s">
        <v>911</v>
      </c>
      <c r="L268" s="49">
        <f t="shared" si="38"/>
        <v>0.52500000000000002</v>
      </c>
      <c r="M268" s="40">
        <v>1</v>
      </c>
      <c r="N268" s="57">
        <f t="shared" si="39"/>
        <v>1.5249999999999999</v>
      </c>
    </row>
    <row r="269" spans="1:14" ht="18.75" customHeight="1">
      <c r="A269" s="40" t="s">
        <v>1042</v>
      </c>
      <c r="B269" s="40" t="s">
        <v>875</v>
      </c>
      <c r="C269" s="40" t="s">
        <v>581</v>
      </c>
      <c r="D269" s="55">
        <v>25</v>
      </c>
      <c r="E269" s="55"/>
      <c r="F269" s="56"/>
      <c r="G269" s="55"/>
      <c r="H269" s="46">
        <v>1</v>
      </c>
      <c r="I269" s="40" t="s">
        <v>81</v>
      </c>
      <c r="J269" s="40">
        <v>4</v>
      </c>
      <c r="K269" s="40" t="s">
        <v>39</v>
      </c>
      <c r="L269" s="49">
        <f t="shared" si="38"/>
        <v>4</v>
      </c>
      <c r="M269" s="40">
        <v>1</v>
      </c>
      <c r="N269" s="57">
        <f t="shared" si="39"/>
        <v>5</v>
      </c>
    </row>
    <row r="270" spans="1:14" ht="18.75" customHeight="1">
      <c r="A270" s="40" t="s">
        <v>1043</v>
      </c>
      <c r="B270" s="40" t="s">
        <v>875</v>
      </c>
      <c r="C270" s="40"/>
      <c r="D270" s="55">
        <v>18</v>
      </c>
      <c r="E270" s="55"/>
      <c r="F270" s="56">
        <v>1450</v>
      </c>
      <c r="G270" s="55">
        <v>2</v>
      </c>
      <c r="H270" s="46">
        <f>F270*G270*0.001</f>
        <v>2.9</v>
      </c>
      <c r="I270" s="40" t="s">
        <v>886</v>
      </c>
      <c r="J270" s="40">
        <f>VLOOKUP(D270,BM!$A$2:$X$57,22,FALSE)</f>
        <v>3.4</v>
      </c>
      <c r="K270" s="40" t="s">
        <v>911</v>
      </c>
      <c r="L270" s="49">
        <f t="shared" ref="L270" si="41">H270*J270</f>
        <v>9.86</v>
      </c>
      <c r="M270" s="40">
        <v>1</v>
      </c>
      <c r="N270" s="57">
        <f t="shared" ref="N270" si="42">L270+M270</f>
        <v>10.86</v>
      </c>
    </row>
    <row r="271" spans="1:14" ht="18.75" customHeight="1">
      <c r="A271" s="40" t="s">
        <v>1044</v>
      </c>
      <c r="B271" s="40"/>
      <c r="C271" s="40"/>
      <c r="D271" s="55"/>
      <c r="E271" s="55"/>
      <c r="F271" s="56"/>
      <c r="G271" s="55"/>
      <c r="H271" s="46"/>
      <c r="I271" s="40"/>
      <c r="J271" s="40"/>
      <c r="K271" s="40"/>
      <c r="L271" s="49"/>
      <c r="M271" s="40"/>
      <c r="N271" s="57">
        <v>12</v>
      </c>
    </row>
    <row r="272" spans="1:14" ht="18.75" customHeight="1">
      <c r="H272" s="47"/>
      <c r="I272" s="47"/>
      <c r="J272" s="48"/>
      <c r="K272" s="48"/>
      <c r="L272" s="48"/>
      <c r="M272" s="48"/>
      <c r="N272" s="48"/>
    </row>
    <row r="273" spans="1:14" ht="18.75" customHeight="1">
      <c r="A273" s="37" t="s">
        <v>866</v>
      </c>
      <c r="B273" s="38" t="s">
        <v>867</v>
      </c>
      <c r="C273" s="38"/>
      <c r="D273" s="39" t="s">
        <v>2</v>
      </c>
      <c r="E273" s="39" t="s">
        <v>908</v>
      </c>
      <c r="F273" s="39" t="s">
        <v>909</v>
      </c>
      <c r="G273" s="39" t="s">
        <v>4</v>
      </c>
      <c r="H273" s="39" t="s">
        <v>870</v>
      </c>
      <c r="I273" s="39" t="s">
        <v>5</v>
      </c>
      <c r="J273" s="39" t="s">
        <v>871</v>
      </c>
      <c r="K273" s="39" t="s">
        <v>5</v>
      </c>
      <c r="L273" s="39" t="s">
        <v>870</v>
      </c>
      <c r="M273" s="39" t="s">
        <v>872</v>
      </c>
      <c r="N273" s="39" t="s">
        <v>873</v>
      </c>
    </row>
    <row r="274" spans="1:14" ht="18.75" customHeight="1">
      <c r="A274" s="40" t="s">
        <v>1045</v>
      </c>
      <c r="B274" s="40" t="s">
        <v>875</v>
      </c>
      <c r="C274" s="40"/>
      <c r="D274" s="40"/>
      <c r="E274" s="40"/>
      <c r="F274" s="45"/>
      <c r="G274" s="40"/>
      <c r="H274" s="46"/>
      <c r="I274" s="40"/>
      <c r="J274" s="40"/>
      <c r="K274" s="40"/>
      <c r="L274" s="49"/>
      <c r="M274" s="40"/>
      <c r="N274" s="57"/>
    </row>
    <row r="275" spans="1:14" ht="18.75" customHeight="1">
      <c r="A275" s="40" t="s">
        <v>1046</v>
      </c>
      <c r="B275" s="40" t="s">
        <v>875</v>
      </c>
      <c r="C275" s="40"/>
      <c r="D275" s="40">
        <v>20</v>
      </c>
      <c r="E275" s="40">
        <v>70</v>
      </c>
      <c r="F275" s="45">
        <v>8571</v>
      </c>
      <c r="G275" s="40">
        <v>2</v>
      </c>
      <c r="H275" s="46">
        <f t="shared" ref="H275:H281" si="43">(E275*2*0.001+F275*2*0.001)*G275</f>
        <v>34.564</v>
      </c>
      <c r="I275" s="40"/>
      <c r="J275" s="40">
        <f>VLOOKUP(D275,BM!$A$2:$X$57,2,FALSE)</f>
        <v>0.1</v>
      </c>
      <c r="K275" s="40"/>
      <c r="L275" s="49">
        <f t="shared" si="30"/>
        <v>3.4564000000000004</v>
      </c>
      <c r="M275" s="40">
        <v>1</v>
      </c>
      <c r="N275" s="57">
        <f t="shared" si="31"/>
        <v>4.4564000000000004</v>
      </c>
    </row>
    <row r="276" spans="1:14" ht="18.75" customHeight="1">
      <c r="A276" s="40" t="s">
        <v>1047</v>
      </c>
      <c r="B276" s="40" t="s">
        <v>875</v>
      </c>
      <c r="C276" s="40"/>
      <c r="D276" s="40"/>
      <c r="E276" s="40"/>
      <c r="F276" s="45"/>
      <c r="G276" s="40"/>
      <c r="H276" s="46"/>
      <c r="I276" s="40"/>
      <c r="J276" s="40"/>
      <c r="K276" s="40"/>
      <c r="L276" s="49"/>
      <c r="M276" s="40"/>
      <c r="N276" s="57"/>
    </row>
    <row r="277" spans="1:14" ht="18.75" customHeight="1">
      <c r="A277" s="40" t="s">
        <v>1048</v>
      </c>
      <c r="B277" s="40"/>
      <c r="C277" s="40"/>
      <c r="D277" s="40"/>
      <c r="E277" s="40" t="s">
        <v>1049</v>
      </c>
      <c r="F277" s="45" t="s">
        <v>1050</v>
      </c>
      <c r="G277" s="40">
        <v>43</v>
      </c>
      <c r="H277" s="46">
        <f>G277</f>
        <v>43</v>
      </c>
      <c r="I277" s="40" t="s">
        <v>39</v>
      </c>
      <c r="J277" s="57">
        <f>1/60*5</f>
        <v>8.3333333333333329E-2</v>
      </c>
      <c r="K277" s="40" t="s">
        <v>1051</v>
      </c>
      <c r="L277" s="49">
        <f t="shared" si="30"/>
        <v>3.583333333333333</v>
      </c>
      <c r="M277" s="40"/>
      <c r="N277" s="57"/>
    </row>
    <row r="278" spans="1:14" ht="18.75" customHeight="1">
      <c r="A278" s="40" t="s">
        <v>1052</v>
      </c>
      <c r="B278" s="40"/>
      <c r="C278" s="40"/>
      <c r="D278" s="40"/>
      <c r="E278" s="40" t="s">
        <v>1049</v>
      </c>
      <c r="F278" s="45" t="s">
        <v>1053</v>
      </c>
      <c r="G278" s="40">
        <v>7</v>
      </c>
      <c r="H278" s="46">
        <f>G278</f>
        <v>7</v>
      </c>
      <c r="I278" s="40" t="s">
        <v>39</v>
      </c>
      <c r="J278" s="57">
        <f>1/60*5</f>
        <v>8.3333333333333329E-2</v>
      </c>
      <c r="K278" s="40" t="s">
        <v>1051</v>
      </c>
      <c r="L278" s="49">
        <f t="shared" si="30"/>
        <v>0.58333333333333326</v>
      </c>
      <c r="M278" s="40"/>
      <c r="N278" s="57"/>
    </row>
    <row r="279" spans="1:14" ht="18.75" customHeight="1">
      <c r="A279" s="40" t="s">
        <v>1054</v>
      </c>
      <c r="B279" s="40"/>
      <c r="C279" s="40"/>
      <c r="D279" s="40"/>
      <c r="E279" s="40" t="s">
        <v>1055</v>
      </c>
      <c r="F279" s="45" t="s">
        <v>1056</v>
      </c>
      <c r="G279" s="40">
        <v>14</v>
      </c>
      <c r="H279" s="46">
        <f>G279</f>
        <v>14</v>
      </c>
      <c r="I279" s="40" t="s">
        <v>39</v>
      </c>
      <c r="J279" s="57">
        <f>1/60*5</f>
        <v>8.3333333333333329E-2</v>
      </c>
      <c r="K279" s="40" t="s">
        <v>1051</v>
      </c>
      <c r="L279" s="49">
        <f t="shared" si="30"/>
        <v>1.1666666666666665</v>
      </c>
      <c r="M279" s="40"/>
      <c r="N279" s="57"/>
    </row>
    <row r="280" spans="1:14" ht="18.75" customHeight="1">
      <c r="A280" s="40" t="s">
        <v>1057</v>
      </c>
      <c r="B280" s="40"/>
      <c r="C280" s="40"/>
      <c r="D280" s="40"/>
      <c r="E280" s="40" t="s">
        <v>1058</v>
      </c>
      <c r="F280" s="45"/>
      <c r="G280" s="40">
        <f>838/2</f>
        <v>419</v>
      </c>
      <c r="H280" s="46">
        <f>G280</f>
        <v>419</v>
      </c>
      <c r="I280" s="40" t="s">
        <v>39</v>
      </c>
      <c r="J280" s="57">
        <f>1/60*5</f>
        <v>8.3333333333333329E-2</v>
      </c>
      <c r="K280" s="40" t="s">
        <v>1051</v>
      </c>
      <c r="L280" s="49">
        <f t="shared" si="30"/>
        <v>34.916666666666664</v>
      </c>
      <c r="M280" s="40"/>
      <c r="N280" s="57"/>
    </row>
    <row r="281" spans="1:14" ht="18.75" customHeight="1">
      <c r="A281" s="40" t="s">
        <v>1059</v>
      </c>
      <c r="B281" s="40" t="s">
        <v>875</v>
      </c>
      <c r="C281" s="40"/>
      <c r="D281" s="40">
        <v>24</v>
      </c>
      <c r="E281" s="40">
        <v>100</v>
      </c>
      <c r="F281" s="45">
        <v>500</v>
      </c>
      <c r="G281" s="40">
        <v>2</v>
      </c>
      <c r="H281" s="46">
        <f t="shared" si="43"/>
        <v>2.4</v>
      </c>
      <c r="I281" s="40"/>
      <c r="J281" s="40">
        <f>VLOOKUP(D281,BM!$A$2:$X$57,2,FALSE)</f>
        <v>0.1</v>
      </c>
      <c r="K281" s="40"/>
      <c r="L281" s="49">
        <f t="shared" si="30"/>
        <v>0.24</v>
      </c>
      <c r="M281" s="40">
        <v>1</v>
      </c>
      <c r="N281" s="57">
        <f t="shared" si="31"/>
        <v>1.24</v>
      </c>
    </row>
    <row r="282" spans="1:14" ht="18.75" customHeight="1">
      <c r="A282" s="34"/>
      <c r="B282" s="34"/>
      <c r="C282" s="34"/>
    </row>
    <row r="283" spans="1:14" ht="18.75" customHeight="1">
      <c r="A283" s="37" t="s">
        <v>866</v>
      </c>
      <c r="B283" s="38" t="s">
        <v>867</v>
      </c>
      <c r="C283" s="38"/>
      <c r="D283" s="39" t="s">
        <v>2</v>
      </c>
      <c r="E283" s="39" t="s">
        <v>908</v>
      </c>
      <c r="F283" s="39" t="s">
        <v>909</v>
      </c>
      <c r="G283" s="39" t="s">
        <v>4</v>
      </c>
      <c r="H283" s="39" t="s">
        <v>870</v>
      </c>
      <c r="I283" s="39" t="s">
        <v>5</v>
      </c>
      <c r="J283" s="39" t="s">
        <v>871</v>
      </c>
      <c r="K283" s="39" t="s">
        <v>5</v>
      </c>
      <c r="L283" s="39" t="s">
        <v>870</v>
      </c>
      <c r="M283" s="39" t="s">
        <v>872</v>
      </c>
      <c r="N283" s="39" t="s">
        <v>873</v>
      </c>
    </row>
    <row r="284" spans="1:14" ht="18.75" customHeight="1">
      <c r="A284" s="40" t="s">
        <v>1060</v>
      </c>
      <c r="B284" s="40" t="s">
        <v>875</v>
      </c>
      <c r="C284" s="40"/>
      <c r="D284" s="40"/>
      <c r="E284" s="40"/>
      <c r="F284" s="45"/>
      <c r="G284" s="40"/>
      <c r="H284" s="46"/>
      <c r="I284" s="40"/>
      <c r="J284" s="40"/>
      <c r="K284" s="40"/>
      <c r="L284" s="49"/>
      <c r="M284" s="40"/>
      <c r="N284" s="57"/>
    </row>
    <row r="285" spans="1:14" ht="18.75" customHeight="1">
      <c r="A285" s="40" t="s">
        <v>1061</v>
      </c>
      <c r="B285" s="40" t="s">
        <v>875</v>
      </c>
      <c r="C285" s="40"/>
      <c r="D285" s="40">
        <v>20</v>
      </c>
      <c r="E285" s="40">
        <v>70</v>
      </c>
      <c r="F285" s="45">
        <v>8571</v>
      </c>
      <c r="G285" s="40">
        <v>2</v>
      </c>
      <c r="H285" s="46">
        <f t="shared" ref="H285" si="44">(E285*2*0.001+F285*2*0.001)*G285</f>
        <v>34.564</v>
      </c>
      <c r="I285" s="40"/>
      <c r="J285" s="40">
        <f>VLOOKUP(D285,BM!$A$2:$X$57,3,FALSE)</f>
        <v>0.25</v>
      </c>
      <c r="K285" s="40"/>
      <c r="L285" s="49">
        <f t="shared" ref="L285" si="45">H285*J285</f>
        <v>8.641</v>
      </c>
      <c r="M285" s="40">
        <v>1</v>
      </c>
      <c r="N285" s="57">
        <f t="shared" ref="N285:N291" si="46">L285+M285</f>
        <v>9.641</v>
      </c>
    </row>
    <row r="286" spans="1:14" ht="18.75" customHeight="1">
      <c r="A286" s="40" t="s">
        <v>1062</v>
      </c>
      <c r="B286" s="40" t="s">
        <v>875</v>
      </c>
      <c r="C286" s="40"/>
      <c r="D286" s="40"/>
      <c r="E286" s="40"/>
      <c r="F286" s="45"/>
      <c r="G286" s="40"/>
      <c r="H286" s="46"/>
      <c r="I286" s="40"/>
      <c r="J286" s="40"/>
      <c r="K286" s="40"/>
      <c r="L286" s="49"/>
      <c r="M286" s="40"/>
      <c r="N286" s="57"/>
    </row>
    <row r="287" spans="1:14" ht="18.75" customHeight="1">
      <c r="A287" s="40" t="s">
        <v>1063</v>
      </c>
      <c r="B287" s="40"/>
      <c r="C287" s="40"/>
      <c r="D287" s="40"/>
      <c r="E287" s="40" t="s">
        <v>1049</v>
      </c>
      <c r="F287" s="45" t="s">
        <v>1050</v>
      </c>
      <c r="G287" s="40">
        <v>43</v>
      </c>
      <c r="H287" s="46">
        <f>G287</f>
        <v>43</v>
      </c>
      <c r="I287" s="40" t="s">
        <v>39</v>
      </c>
      <c r="J287" s="57">
        <f>1/60*10</f>
        <v>0.16666666666666666</v>
      </c>
      <c r="K287" s="40" t="s">
        <v>1051</v>
      </c>
      <c r="L287" s="49">
        <f t="shared" ref="L287:L291" si="47">H287*J287</f>
        <v>7.1666666666666661</v>
      </c>
      <c r="M287" s="40"/>
      <c r="N287" s="57">
        <f t="shared" si="46"/>
        <v>7.1666666666666661</v>
      </c>
    </row>
    <row r="288" spans="1:14" ht="18.75" customHeight="1">
      <c r="A288" s="40" t="s">
        <v>1064</v>
      </c>
      <c r="B288" s="40"/>
      <c r="C288" s="40"/>
      <c r="D288" s="40"/>
      <c r="E288" s="40" t="s">
        <v>1049</v>
      </c>
      <c r="F288" s="45" t="s">
        <v>1053</v>
      </c>
      <c r="G288" s="40">
        <v>7</v>
      </c>
      <c r="H288" s="46">
        <f>G288</f>
        <v>7</v>
      </c>
      <c r="I288" s="40" t="s">
        <v>39</v>
      </c>
      <c r="J288" s="57">
        <f>1/60*10</f>
        <v>0.16666666666666666</v>
      </c>
      <c r="K288" s="40" t="s">
        <v>1051</v>
      </c>
      <c r="L288" s="49">
        <f t="shared" si="47"/>
        <v>1.1666666666666665</v>
      </c>
      <c r="M288" s="40"/>
      <c r="N288" s="57">
        <f t="shared" si="46"/>
        <v>1.1666666666666665</v>
      </c>
    </row>
    <row r="289" spans="1:14" ht="18.75" customHeight="1">
      <c r="A289" s="40" t="s">
        <v>1065</v>
      </c>
      <c r="B289" s="40"/>
      <c r="C289" s="40"/>
      <c r="D289" s="40"/>
      <c r="E289" s="40" t="s">
        <v>1055</v>
      </c>
      <c r="F289" s="45" t="s">
        <v>1056</v>
      </c>
      <c r="G289" s="40">
        <v>14</v>
      </c>
      <c r="H289" s="46">
        <f>G289</f>
        <v>14</v>
      </c>
      <c r="I289" s="40" t="s">
        <v>39</v>
      </c>
      <c r="J289" s="57">
        <f>1/60*10</f>
        <v>0.16666666666666666</v>
      </c>
      <c r="K289" s="40" t="s">
        <v>1051</v>
      </c>
      <c r="L289" s="49">
        <f t="shared" si="47"/>
        <v>2.333333333333333</v>
      </c>
      <c r="M289" s="40"/>
      <c r="N289" s="57">
        <f t="shared" si="46"/>
        <v>2.333333333333333</v>
      </c>
    </row>
    <row r="290" spans="1:14" ht="18.75" customHeight="1">
      <c r="A290" s="40" t="s">
        <v>1066</v>
      </c>
      <c r="B290" s="40"/>
      <c r="C290" s="40"/>
      <c r="D290" s="40"/>
      <c r="E290" s="40" t="s">
        <v>1058</v>
      </c>
      <c r="F290" s="45"/>
      <c r="G290" s="40">
        <f>838/2</f>
        <v>419</v>
      </c>
      <c r="H290" s="46">
        <f>G290</f>
        <v>419</v>
      </c>
      <c r="I290" s="40" t="s">
        <v>39</v>
      </c>
      <c r="J290" s="57">
        <f>1/60*5</f>
        <v>8.3333333333333329E-2</v>
      </c>
      <c r="K290" s="40" t="s">
        <v>1051</v>
      </c>
      <c r="L290" s="49">
        <f t="shared" si="47"/>
        <v>34.916666666666664</v>
      </c>
      <c r="M290" s="40"/>
      <c r="N290" s="57">
        <f t="shared" si="46"/>
        <v>34.916666666666664</v>
      </c>
    </row>
    <row r="291" spans="1:14" ht="18.75" customHeight="1">
      <c r="A291" s="40" t="s">
        <v>1067</v>
      </c>
      <c r="B291" s="40" t="s">
        <v>875</v>
      </c>
      <c r="C291" s="40"/>
      <c r="D291" s="40">
        <v>24</v>
      </c>
      <c r="E291" s="40">
        <v>100</v>
      </c>
      <c r="F291" s="45">
        <v>500</v>
      </c>
      <c r="G291" s="40">
        <v>2</v>
      </c>
      <c r="H291" s="46">
        <f t="shared" ref="H291" si="48">(E291*2*0.001+F291*2*0.001)*G291</f>
        <v>2.4</v>
      </c>
      <c r="I291" s="40"/>
      <c r="J291" s="40">
        <f>VLOOKUP(D291,BM!$A$2:$X$57,3,FALSE)</f>
        <v>0.25</v>
      </c>
      <c r="K291" s="40"/>
      <c r="L291" s="49">
        <f t="shared" si="47"/>
        <v>0.6</v>
      </c>
      <c r="M291" s="40">
        <v>1</v>
      </c>
      <c r="N291" s="57">
        <f t="shared" si="46"/>
        <v>1.6</v>
      </c>
    </row>
    <row r="292" spans="1:14" ht="18.75" customHeight="1">
      <c r="C292" s="35"/>
      <c r="D292" s="35"/>
      <c r="E292" s="35"/>
      <c r="F292" s="47"/>
      <c r="G292" s="35"/>
      <c r="H292" s="48"/>
      <c r="I292" s="35"/>
      <c r="J292" s="35"/>
      <c r="K292" s="35"/>
      <c r="L292" s="54"/>
      <c r="M292" s="35"/>
      <c r="N292" s="61"/>
    </row>
    <row r="293" spans="1:14" ht="18.75" customHeight="1">
      <c r="A293" s="37" t="s">
        <v>866</v>
      </c>
      <c r="B293" s="38" t="s">
        <v>867</v>
      </c>
      <c r="C293" s="38"/>
      <c r="D293" s="39" t="s">
        <v>2</v>
      </c>
      <c r="E293" s="39" t="s">
        <v>908</v>
      </c>
      <c r="F293" s="39" t="s">
        <v>909</v>
      </c>
      <c r="G293" s="39" t="s">
        <v>4</v>
      </c>
      <c r="H293" s="39" t="s">
        <v>870</v>
      </c>
      <c r="I293" s="39" t="s">
        <v>5</v>
      </c>
      <c r="J293" s="39" t="s">
        <v>871</v>
      </c>
      <c r="K293" s="39" t="s">
        <v>5</v>
      </c>
      <c r="L293" s="39" t="s">
        <v>870</v>
      </c>
      <c r="M293" s="39" t="s">
        <v>872</v>
      </c>
      <c r="N293" s="39" t="s">
        <v>873</v>
      </c>
    </row>
    <row r="294" spans="1:14" ht="18.75" customHeight="1">
      <c r="A294" s="40" t="s">
        <v>1068</v>
      </c>
      <c r="B294" s="40" t="s">
        <v>875</v>
      </c>
      <c r="C294" s="40"/>
      <c r="D294" s="40"/>
      <c r="E294" s="40"/>
      <c r="F294" s="45"/>
      <c r="G294" s="40"/>
      <c r="H294" s="46"/>
      <c r="I294" s="40"/>
      <c r="J294" s="40"/>
      <c r="K294" s="40"/>
      <c r="L294" s="49"/>
      <c r="M294" s="40"/>
      <c r="N294" s="57"/>
    </row>
    <row r="295" spans="1:14" ht="18.75" customHeight="1">
      <c r="A295" s="40" t="s">
        <v>1069</v>
      </c>
      <c r="B295" s="40" t="s">
        <v>875</v>
      </c>
      <c r="C295" s="40"/>
      <c r="D295" s="40">
        <v>20</v>
      </c>
      <c r="E295" s="40">
        <v>70</v>
      </c>
      <c r="F295" s="45">
        <v>8571</v>
      </c>
      <c r="G295" s="40">
        <v>2</v>
      </c>
      <c r="H295" s="46">
        <v>2</v>
      </c>
      <c r="I295" s="40"/>
      <c r="J295" s="40">
        <v>8</v>
      </c>
      <c r="K295" s="40"/>
      <c r="L295" s="49">
        <f t="shared" ref="L295" si="49">H295*J295</f>
        <v>16</v>
      </c>
      <c r="M295" s="40">
        <v>1</v>
      </c>
      <c r="N295" s="57">
        <f t="shared" ref="N295:N301" si="50">L295+M295</f>
        <v>17</v>
      </c>
    </row>
    <row r="296" spans="1:14" ht="18.75" customHeight="1">
      <c r="A296" s="40" t="s">
        <v>1070</v>
      </c>
      <c r="B296" s="40" t="s">
        <v>875</v>
      </c>
      <c r="C296" s="40"/>
      <c r="D296" s="40"/>
      <c r="E296" s="40"/>
      <c r="F296" s="45"/>
      <c r="G296" s="40"/>
      <c r="H296" s="46"/>
      <c r="I296" s="40"/>
      <c r="J296" s="40"/>
      <c r="K296" s="40"/>
      <c r="L296" s="49"/>
      <c r="M296" s="40"/>
      <c r="N296" s="57"/>
    </row>
    <row r="297" spans="1:14" ht="18.75" customHeight="1">
      <c r="A297" s="40" t="s">
        <v>1071</v>
      </c>
      <c r="B297" s="40"/>
      <c r="C297" s="40"/>
      <c r="D297" s="40"/>
      <c r="E297" s="40" t="s">
        <v>1049</v>
      </c>
      <c r="F297" s="45" t="s">
        <v>1050</v>
      </c>
      <c r="G297" s="40">
        <v>43</v>
      </c>
      <c r="H297" s="46">
        <f>G297</f>
        <v>43</v>
      </c>
      <c r="I297" s="40" t="s">
        <v>39</v>
      </c>
      <c r="J297" s="57">
        <v>0.5</v>
      </c>
      <c r="K297" s="40" t="s">
        <v>1051</v>
      </c>
      <c r="L297" s="49">
        <f t="shared" ref="L297:L301" si="51">H297*J297</f>
        <v>21.5</v>
      </c>
      <c r="M297" s="40"/>
      <c r="N297" s="57">
        <f t="shared" si="50"/>
        <v>21.5</v>
      </c>
    </row>
    <row r="298" spans="1:14" ht="18.75" customHeight="1">
      <c r="A298" s="40" t="s">
        <v>1072</v>
      </c>
      <c r="B298" s="40"/>
      <c r="C298" s="40"/>
      <c r="D298" s="40"/>
      <c r="E298" s="40" t="s">
        <v>1049</v>
      </c>
      <c r="F298" s="45" t="s">
        <v>1053</v>
      </c>
      <c r="G298" s="40">
        <v>7</v>
      </c>
      <c r="H298" s="46">
        <f>G298</f>
        <v>7</v>
      </c>
      <c r="I298" s="40" t="s">
        <v>39</v>
      </c>
      <c r="J298" s="57">
        <v>0.5</v>
      </c>
      <c r="K298" s="40" t="s">
        <v>1051</v>
      </c>
      <c r="L298" s="49">
        <f t="shared" si="51"/>
        <v>3.5</v>
      </c>
      <c r="M298" s="40"/>
      <c r="N298" s="57">
        <f t="shared" si="50"/>
        <v>3.5</v>
      </c>
    </row>
    <row r="299" spans="1:14" ht="18.75" customHeight="1">
      <c r="A299" s="40" t="s">
        <v>1073</v>
      </c>
      <c r="B299" s="40"/>
      <c r="C299" s="40"/>
      <c r="D299" s="40"/>
      <c r="E299" s="40" t="s">
        <v>1055</v>
      </c>
      <c r="F299" s="45" t="s">
        <v>1056</v>
      </c>
      <c r="G299" s="40">
        <v>14</v>
      </c>
      <c r="H299" s="46">
        <f>G299</f>
        <v>14</v>
      </c>
      <c r="I299" s="40" t="s">
        <v>39</v>
      </c>
      <c r="J299" s="57">
        <v>0.5</v>
      </c>
      <c r="K299" s="40" t="s">
        <v>1051</v>
      </c>
      <c r="L299" s="49">
        <f t="shared" si="51"/>
        <v>7</v>
      </c>
      <c r="M299" s="40"/>
      <c r="N299" s="57">
        <f t="shared" si="50"/>
        <v>7</v>
      </c>
    </row>
    <row r="300" spans="1:14" ht="18.75" customHeight="1">
      <c r="A300" s="40" t="s">
        <v>1074</v>
      </c>
      <c r="B300" s="40"/>
      <c r="C300" s="40"/>
      <c r="D300" s="40"/>
      <c r="E300" s="40" t="s">
        <v>1058</v>
      </c>
      <c r="F300" s="45"/>
      <c r="G300" s="40">
        <f>838/2</f>
        <v>419</v>
      </c>
      <c r="H300" s="46">
        <f>G300</f>
        <v>419</v>
      </c>
      <c r="I300" s="40" t="s">
        <v>39</v>
      </c>
      <c r="J300" s="57">
        <f>1/60*10</f>
        <v>0.16666666666666666</v>
      </c>
      <c r="K300" s="40" t="s">
        <v>1051</v>
      </c>
      <c r="L300" s="49">
        <f t="shared" si="51"/>
        <v>69.833333333333329</v>
      </c>
      <c r="M300" s="40"/>
      <c r="N300" s="57">
        <f t="shared" si="50"/>
        <v>69.833333333333329</v>
      </c>
    </row>
    <row r="301" spans="1:14" ht="18.75" customHeight="1">
      <c r="A301" s="40" t="s">
        <v>1075</v>
      </c>
      <c r="B301" s="40" t="s">
        <v>875</v>
      </c>
      <c r="C301" s="40"/>
      <c r="D301" s="40">
        <v>24</v>
      </c>
      <c r="E301" s="40">
        <v>100</v>
      </c>
      <c r="F301" s="45">
        <v>500</v>
      </c>
      <c r="G301" s="40">
        <v>2</v>
      </c>
      <c r="H301" s="46">
        <v>1</v>
      </c>
      <c r="I301" s="40"/>
      <c r="J301" s="40">
        <v>6</v>
      </c>
      <c r="K301" s="40"/>
      <c r="L301" s="49">
        <f t="shared" si="51"/>
        <v>6</v>
      </c>
      <c r="M301" s="40">
        <v>1</v>
      </c>
      <c r="N301" s="57">
        <f t="shared" si="50"/>
        <v>7</v>
      </c>
    </row>
    <row r="302" spans="1:14" ht="18.75" customHeight="1">
      <c r="A302" s="34"/>
      <c r="B302" s="34"/>
      <c r="C302" s="34"/>
    </row>
    <row r="303" spans="1:14" ht="18.75" customHeight="1">
      <c r="A303" s="40" t="s">
        <v>846</v>
      </c>
      <c r="B303" s="40"/>
      <c r="C303" s="40"/>
      <c r="D303" s="40">
        <v>1000</v>
      </c>
      <c r="E303" s="40"/>
      <c r="F303" s="45"/>
      <c r="G303" s="40">
        <v>1</v>
      </c>
      <c r="H303" s="46">
        <f t="shared" ref="H303:H320" si="52">G303</f>
        <v>1</v>
      </c>
      <c r="I303" s="40"/>
      <c r="J303" s="40">
        <f>VLOOKUP(D303,BM!$A$2:$X$57,2,FALSE)</f>
        <v>12</v>
      </c>
      <c r="K303" s="40"/>
      <c r="L303" s="49">
        <f t="shared" ref="L303:L327" si="53">H303*J303</f>
        <v>12</v>
      </c>
      <c r="M303" s="40">
        <v>1</v>
      </c>
      <c r="N303" s="57">
        <f t="shared" ref="N303:N327" si="54">L303+M303</f>
        <v>13</v>
      </c>
    </row>
    <row r="304" spans="1:14" ht="18.75" customHeight="1">
      <c r="A304" s="40" t="s">
        <v>1076</v>
      </c>
      <c r="B304" s="40"/>
      <c r="C304" s="40"/>
      <c r="D304" s="40">
        <v>1000</v>
      </c>
      <c r="E304" s="40"/>
      <c r="F304" s="45"/>
      <c r="G304" s="40">
        <v>1</v>
      </c>
      <c r="H304" s="46">
        <f t="shared" si="52"/>
        <v>1</v>
      </c>
      <c r="I304" s="40" t="s">
        <v>81</v>
      </c>
      <c r="J304" s="40">
        <f>VLOOKUP(D304,BM!$A$2:$X$57,3,FALSE)</f>
        <v>4</v>
      </c>
      <c r="K304" s="40"/>
      <c r="L304" s="49">
        <f t="shared" si="53"/>
        <v>4</v>
      </c>
      <c r="M304" s="40">
        <v>1</v>
      </c>
      <c r="N304" s="57">
        <f t="shared" si="54"/>
        <v>5</v>
      </c>
    </row>
    <row r="305" spans="1:14" ht="18.75" customHeight="1">
      <c r="A305" s="40" t="s">
        <v>1077</v>
      </c>
      <c r="B305" s="40"/>
      <c r="C305" s="40"/>
      <c r="D305" s="40">
        <v>1000</v>
      </c>
      <c r="E305" s="40"/>
      <c r="F305" s="45"/>
      <c r="G305" s="40">
        <v>17</v>
      </c>
      <c r="H305" s="46">
        <f t="shared" si="52"/>
        <v>17</v>
      </c>
      <c r="I305" s="40" t="s">
        <v>81</v>
      </c>
      <c r="J305" s="40">
        <f>VLOOKUP(D305,BM!$A$2:$X$57,4,FALSE)</f>
        <v>0.15</v>
      </c>
      <c r="K305" s="40"/>
      <c r="L305" s="49">
        <f t="shared" si="53"/>
        <v>2.5499999999999998</v>
      </c>
      <c r="M305" s="40">
        <v>1</v>
      </c>
      <c r="N305" s="57">
        <f t="shared" si="54"/>
        <v>3.55</v>
      </c>
    </row>
    <row r="306" spans="1:14" ht="18.75" customHeight="1">
      <c r="A306" s="40" t="s">
        <v>1078</v>
      </c>
      <c r="B306" s="40"/>
      <c r="C306" s="40"/>
      <c r="D306" s="40">
        <v>1000</v>
      </c>
      <c r="E306" s="40"/>
      <c r="F306" s="45"/>
      <c r="G306" s="40">
        <v>22</v>
      </c>
      <c r="H306" s="46">
        <f t="shared" si="52"/>
        <v>22</v>
      </c>
      <c r="I306" s="40" t="s">
        <v>81</v>
      </c>
      <c r="J306" s="40">
        <f>VLOOKUP(D306,BM!$A$2:$X$57,5,FALSE)</f>
        <v>0.5</v>
      </c>
      <c r="K306" s="40"/>
      <c r="L306" s="49">
        <f t="shared" si="53"/>
        <v>11</v>
      </c>
      <c r="M306" s="40">
        <v>1</v>
      </c>
      <c r="N306" s="57">
        <f t="shared" si="54"/>
        <v>12</v>
      </c>
    </row>
    <row r="307" spans="1:14" ht="18.75" customHeight="1">
      <c r="A307" s="40" t="s">
        <v>850</v>
      </c>
      <c r="B307" s="40"/>
      <c r="C307" s="40"/>
      <c r="D307" s="40">
        <v>1000</v>
      </c>
      <c r="E307" s="40"/>
      <c r="F307" s="45"/>
      <c r="G307" s="40">
        <v>500</v>
      </c>
      <c r="H307" s="46">
        <f t="shared" si="52"/>
        <v>500</v>
      </c>
      <c r="I307" s="40" t="s">
        <v>81</v>
      </c>
      <c r="J307" s="62">
        <f>VLOOKUP(D307,BM!$A$2:$X$57,6,FALSE)</f>
        <v>8.3333333333333329E-2</v>
      </c>
      <c r="K307" s="62"/>
      <c r="L307" s="49">
        <f t="shared" si="53"/>
        <v>41.666666666666664</v>
      </c>
      <c r="M307" s="40">
        <v>1</v>
      </c>
      <c r="N307" s="57">
        <f t="shared" si="54"/>
        <v>42.666666666666664</v>
      </c>
    </row>
    <row r="308" spans="1:14" ht="18.75" customHeight="1">
      <c r="A308" s="40" t="s">
        <v>1079</v>
      </c>
      <c r="B308" s="40"/>
      <c r="C308" s="40"/>
      <c r="D308" s="40">
        <v>1000</v>
      </c>
      <c r="E308" s="40"/>
      <c r="F308" s="45"/>
      <c r="G308" s="40">
        <v>10</v>
      </c>
      <c r="H308" s="46">
        <f t="shared" si="52"/>
        <v>10</v>
      </c>
      <c r="I308" s="40" t="s">
        <v>81</v>
      </c>
      <c r="J308" s="40">
        <f>VLOOKUP(D308,BM!$A$2:$X$57,10,FALSE)</f>
        <v>0.25</v>
      </c>
      <c r="K308" s="40"/>
      <c r="L308" s="49">
        <f t="shared" si="53"/>
        <v>2.5</v>
      </c>
      <c r="M308" s="40">
        <v>1</v>
      </c>
      <c r="N308" s="57">
        <f t="shared" si="54"/>
        <v>3.5</v>
      </c>
    </row>
    <row r="309" spans="1:14" ht="18.75" customHeight="1">
      <c r="A309" s="40" t="s">
        <v>850</v>
      </c>
      <c r="B309" s="40"/>
      <c r="C309" s="40"/>
      <c r="D309" s="40">
        <v>1000</v>
      </c>
      <c r="E309" s="40"/>
      <c r="F309" s="45"/>
      <c r="G309" s="40">
        <v>550</v>
      </c>
      <c r="H309" s="46">
        <f t="shared" si="52"/>
        <v>550</v>
      </c>
      <c r="I309" s="40" t="s">
        <v>81</v>
      </c>
      <c r="J309" s="57">
        <f>VLOOKUP(D309,BM!$A$2:$X$57,6,FALSE)</f>
        <v>8.3333333333333329E-2</v>
      </c>
      <c r="K309" s="57"/>
      <c r="L309" s="49">
        <f t="shared" si="53"/>
        <v>45.833333333333329</v>
      </c>
      <c r="M309" s="40">
        <v>1</v>
      </c>
      <c r="N309" s="57">
        <f t="shared" si="54"/>
        <v>46.833333333333329</v>
      </c>
    </row>
    <row r="310" spans="1:14" ht="18.75" customHeight="1">
      <c r="A310" s="40" t="s">
        <v>1080</v>
      </c>
      <c r="B310" s="40"/>
      <c r="C310" s="40"/>
      <c r="D310" s="40">
        <v>1000</v>
      </c>
      <c r="E310" s="40"/>
      <c r="F310" s="45"/>
      <c r="G310" s="40">
        <v>0</v>
      </c>
      <c r="H310" s="46">
        <f t="shared" si="52"/>
        <v>0</v>
      </c>
      <c r="I310" s="40" t="s">
        <v>81</v>
      </c>
      <c r="J310" s="40">
        <f>VLOOKUP(D310,BM!$A$2:$X$57,8,FALSE)</f>
        <v>2</v>
      </c>
      <c r="K310" s="40"/>
      <c r="L310" s="49">
        <f t="shared" si="53"/>
        <v>0</v>
      </c>
      <c r="M310" s="40">
        <v>1</v>
      </c>
      <c r="N310" s="57">
        <f t="shared" si="54"/>
        <v>1</v>
      </c>
    </row>
    <row r="311" spans="1:14" ht="18.75" customHeight="1">
      <c r="A311" s="40" t="s">
        <v>1081</v>
      </c>
      <c r="B311" s="40"/>
      <c r="C311" s="40"/>
      <c r="D311" s="40">
        <v>1000</v>
      </c>
      <c r="E311" s="40"/>
      <c r="F311" s="45"/>
      <c r="G311" s="40">
        <v>2</v>
      </c>
      <c r="H311" s="46">
        <f t="shared" si="52"/>
        <v>2</v>
      </c>
      <c r="I311" s="40" t="s">
        <v>81</v>
      </c>
      <c r="J311" s="40">
        <f>VLOOKUP(D311,BM!$A$2:$X$57,8,FALSE)</f>
        <v>2</v>
      </c>
      <c r="K311" s="40"/>
      <c r="L311" s="49">
        <f t="shared" si="53"/>
        <v>4</v>
      </c>
      <c r="M311" s="40">
        <v>1</v>
      </c>
      <c r="N311" s="57">
        <f t="shared" si="54"/>
        <v>5</v>
      </c>
    </row>
    <row r="312" spans="1:14" ht="18.75" customHeight="1">
      <c r="A312" s="40" t="s">
        <v>1082</v>
      </c>
      <c r="B312" s="40"/>
      <c r="C312" s="40"/>
      <c r="D312" s="40">
        <v>1000</v>
      </c>
      <c r="E312" s="40"/>
      <c r="F312" s="45"/>
      <c r="G312" s="40">
        <v>60</v>
      </c>
      <c r="H312" s="46">
        <f t="shared" si="52"/>
        <v>60</v>
      </c>
      <c r="I312" s="40" t="s">
        <v>81</v>
      </c>
      <c r="J312" s="40">
        <f>VLOOKUP(D312,BM!$A$2:$X$57,9,FALSE)</f>
        <v>0.25</v>
      </c>
      <c r="K312" s="40"/>
      <c r="L312" s="49">
        <f t="shared" si="53"/>
        <v>15</v>
      </c>
      <c r="M312" s="40">
        <v>1</v>
      </c>
      <c r="N312" s="57">
        <f t="shared" si="54"/>
        <v>16</v>
      </c>
    </row>
    <row r="313" spans="1:14" ht="18.75" customHeight="1">
      <c r="A313" s="40" t="s">
        <v>1083</v>
      </c>
      <c r="B313" s="40"/>
      <c r="C313" s="40"/>
      <c r="D313" s="40">
        <v>1000</v>
      </c>
      <c r="E313" s="40"/>
      <c r="F313" s="45"/>
      <c r="G313" s="40">
        <v>60</v>
      </c>
      <c r="H313" s="46">
        <f t="shared" si="52"/>
        <v>60</v>
      </c>
      <c r="I313" s="40" t="s">
        <v>81</v>
      </c>
      <c r="J313" s="40">
        <v>0.15</v>
      </c>
      <c r="K313" s="40"/>
      <c r="L313" s="49">
        <f t="shared" si="53"/>
        <v>9</v>
      </c>
      <c r="M313" s="40">
        <v>1</v>
      </c>
      <c r="N313" s="57">
        <f t="shared" si="54"/>
        <v>10</v>
      </c>
    </row>
    <row r="314" spans="1:14" ht="18.75" customHeight="1">
      <c r="A314" s="40" t="s">
        <v>1084</v>
      </c>
      <c r="B314" s="40"/>
      <c r="C314" s="40"/>
      <c r="D314" s="40">
        <v>1000</v>
      </c>
      <c r="E314" s="40"/>
      <c r="F314" s="45"/>
      <c r="G314" s="40">
        <v>1</v>
      </c>
      <c r="H314" s="46">
        <f t="shared" si="52"/>
        <v>1</v>
      </c>
      <c r="I314" s="40" t="s">
        <v>81</v>
      </c>
      <c r="J314" s="40">
        <f>VLOOKUP(D314,BM!$A$2:$X$57,12,FALSE)</f>
        <v>16</v>
      </c>
      <c r="K314" s="40"/>
      <c r="L314" s="49">
        <f t="shared" si="53"/>
        <v>16</v>
      </c>
      <c r="M314" s="40">
        <v>1</v>
      </c>
      <c r="N314" s="57">
        <f t="shared" si="54"/>
        <v>17</v>
      </c>
    </row>
    <row r="315" spans="1:14" ht="18.75" customHeight="1">
      <c r="A315" s="40" t="s">
        <v>1085</v>
      </c>
      <c r="B315" s="40"/>
      <c r="C315" s="40"/>
      <c r="D315" s="40">
        <v>1000</v>
      </c>
      <c r="E315" s="40"/>
      <c r="F315" s="45"/>
      <c r="G315" s="40">
        <v>1</v>
      </c>
      <c r="H315" s="46">
        <f t="shared" si="52"/>
        <v>1</v>
      </c>
      <c r="I315" s="40" t="s">
        <v>81</v>
      </c>
      <c r="J315" s="40">
        <f>VLOOKUP(D315,BM!$A$2:$X$57,17,FALSE)</f>
        <v>16</v>
      </c>
      <c r="K315" s="40"/>
      <c r="L315" s="49">
        <f t="shared" si="53"/>
        <v>16</v>
      </c>
      <c r="M315" s="40">
        <v>1</v>
      </c>
      <c r="N315" s="57">
        <f t="shared" si="54"/>
        <v>17</v>
      </c>
    </row>
    <row r="316" spans="1:14" ht="18.75" customHeight="1">
      <c r="A316" s="40" t="s">
        <v>1086</v>
      </c>
      <c r="B316" s="40"/>
      <c r="C316" s="40"/>
      <c r="D316" s="40">
        <v>1000</v>
      </c>
      <c r="E316" s="40"/>
      <c r="F316" s="45"/>
      <c r="G316" s="40">
        <v>56</v>
      </c>
      <c r="H316" s="46">
        <f t="shared" si="52"/>
        <v>56</v>
      </c>
      <c r="I316" s="40" t="s">
        <v>81</v>
      </c>
      <c r="J316" s="40">
        <f>VLOOKUP(D316,BM!$A$2:$X$57,13,FALSE)</f>
        <v>0.5</v>
      </c>
      <c r="K316" s="40"/>
      <c r="L316" s="49">
        <f t="shared" si="53"/>
        <v>28</v>
      </c>
      <c r="M316" s="40">
        <v>1</v>
      </c>
      <c r="N316" s="57">
        <f t="shared" si="54"/>
        <v>29</v>
      </c>
    </row>
    <row r="317" spans="1:14" ht="18.75" customHeight="1">
      <c r="A317" s="40" t="s">
        <v>1087</v>
      </c>
      <c r="B317" s="40"/>
      <c r="C317" s="40"/>
      <c r="D317" s="40">
        <v>1000</v>
      </c>
      <c r="E317" s="40"/>
      <c r="F317" s="45"/>
      <c r="G317" s="40">
        <v>1050</v>
      </c>
      <c r="H317" s="46">
        <f t="shared" si="52"/>
        <v>1050</v>
      </c>
      <c r="I317" s="40" t="s">
        <v>81</v>
      </c>
      <c r="J317" s="40">
        <f>VLOOKUP(D317,BM!$A$2:$X$57,20,FALSE)</f>
        <v>0.05</v>
      </c>
      <c r="K317" s="40"/>
      <c r="L317" s="49">
        <f t="shared" si="53"/>
        <v>52.5</v>
      </c>
      <c r="M317" s="40">
        <v>1</v>
      </c>
      <c r="N317" s="57">
        <f t="shared" si="54"/>
        <v>53.5</v>
      </c>
    </row>
    <row r="318" spans="1:14" ht="18.75" customHeight="1">
      <c r="A318" s="40" t="s">
        <v>1088</v>
      </c>
      <c r="B318" s="40"/>
      <c r="C318" s="40"/>
      <c r="D318" s="40">
        <v>1000</v>
      </c>
      <c r="E318" s="40"/>
      <c r="F318" s="45"/>
      <c r="G318" s="40">
        <v>1050</v>
      </c>
      <c r="H318" s="46">
        <f t="shared" si="52"/>
        <v>1050</v>
      </c>
      <c r="I318" s="40" t="s">
        <v>81</v>
      </c>
      <c r="J318" s="40">
        <f>VLOOKUP(D318,BM!$A$2:$X$57,20,FALSE)</f>
        <v>0.05</v>
      </c>
      <c r="K318" s="40"/>
      <c r="L318" s="49">
        <f t="shared" si="53"/>
        <v>52.5</v>
      </c>
      <c r="M318" s="40">
        <v>1</v>
      </c>
      <c r="N318" s="57">
        <f t="shared" si="54"/>
        <v>53.5</v>
      </c>
    </row>
    <row r="319" spans="1:14" ht="18.75" customHeight="1">
      <c r="A319" s="40" t="s">
        <v>863</v>
      </c>
      <c r="B319" s="40"/>
      <c r="C319" s="40"/>
      <c r="D319" s="40">
        <v>1000</v>
      </c>
      <c r="E319" s="40"/>
      <c r="F319" s="45"/>
      <c r="G319" s="40">
        <v>1461</v>
      </c>
      <c r="H319" s="46">
        <f t="shared" si="52"/>
        <v>1461</v>
      </c>
      <c r="I319" s="40" t="s">
        <v>81</v>
      </c>
      <c r="J319" s="40">
        <f>VLOOKUP(D319,BM!$A$2:$X$57,20,FALSE)</f>
        <v>0.05</v>
      </c>
      <c r="K319" s="40"/>
      <c r="L319" s="49">
        <f t="shared" si="53"/>
        <v>73.05</v>
      </c>
      <c r="M319" s="40">
        <v>1</v>
      </c>
      <c r="N319" s="57">
        <f t="shared" si="54"/>
        <v>74.05</v>
      </c>
    </row>
    <row r="320" spans="1:14" ht="18.75" customHeight="1">
      <c r="A320" s="40" t="s">
        <v>1089</v>
      </c>
      <c r="B320" s="40"/>
      <c r="C320" s="40"/>
      <c r="D320" s="40">
        <v>1000</v>
      </c>
      <c r="E320" s="40"/>
      <c r="F320" s="45"/>
      <c r="G320" s="40">
        <f>1050*2</f>
        <v>2100</v>
      </c>
      <c r="H320" s="46">
        <f t="shared" si="52"/>
        <v>2100</v>
      </c>
      <c r="I320" s="40" t="s">
        <v>81</v>
      </c>
      <c r="J320" s="40">
        <f>VLOOKUP(D320,BM!$A$2:$X$57,20,FALSE)</f>
        <v>0.05</v>
      </c>
      <c r="K320" s="40"/>
      <c r="L320" s="49">
        <f t="shared" si="53"/>
        <v>105</v>
      </c>
      <c r="M320" s="40">
        <v>1</v>
      </c>
      <c r="N320" s="57">
        <f t="shared" si="54"/>
        <v>106</v>
      </c>
    </row>
    <row r="321" spans="1:14" ht="18.75" customHeight="1">
      <c r="A321" s="40" t="s">
        <v>1090</v>
      </c>
      <c r="B321" s="40"/>
      <c r="C321" s="40"/>
      <c r="D321" s="40" t="s">
        <v>581</v>
      </c>
      <c r="E321" s="40"/>
      <c r="F321" s="45"/>
      <c r="G321" s="40">
        <v>1</v>
      </c>
      <c r="H321" s="46">
        <v>1</v>
      </c>
      <c r="I321" s="40" t="s">
        <v>81</v>
      </c>
      <c r="J321" s="40">
        <v>10</v>
      </c>
      <c r="K321" s="40"/>
      <c r="L321" s="49">
        <f t="shared" si="53"/>
        <v>10</v>
      </c>
      <c r="M321" s="40">
        <v>1</v>
      </c>
      <c r="N321" s="57">
        <f t="shared" si="54"/>
        <v>11</v>
      </c>
    </row>
    <row r="322" spans="1:14" ht="18.75" customHeight="1">
      <c r="A322" s="40" t="s">
        <v>677</v>
      </c>
      <c r="B322" s="40"/>
      <c r="C322" s="40"/>
      <c r="D322" s="40">
        <v>1000</v>
      </c>
      <c r="E322" s="40"/>
      <c r="F322" s="45"/>
      <c r="G322" s="40">
        <v>1</v>
      </c>
      <c r="H322" s="46">
        <f t="shared" ref="H322:H327" si="55">G322</f>
        <v>1</v>
      </c>
      <c r="I322" s="40" t="s">
        <v>81</v>
      </c>
      <c r="J322" s="40">
        <v>16</v>
      </c>
      <c r="K322" s="40"/>
      <c r="L322" s="49">
        <f t="shared" si="53"/>
        <v>16</v>
      </c>
      <c r="M322" s="40">
        <v>1</v>
      </c>
      <c r="N322" s="57">
        <f t="shared" si="54"/>
        <v>17</v>
      </c>
    </row>
    <row r="323" spans="1:14" ht="18.75" customHeight="1">
      <c r="A323" s="40" t="s">
        <v>1091</v>
      </c>
      <c r="B323" s="40"/>
      <c r="C323" s="40"/>
      <c r="D323" s="40">
        <v>1000</v>
      </c>
      <c r="E323" s="40"/>
      <c r="F323" s="45"/>
      <c r="G323" s="40">
        <v>55</v>
      </c>
      <c r="H323" s="46">
        <f t="shared" si="55"/>
        <v>55</v>
      </c>
      <c r="I323" s="40" t="s">
        <v>1092</v>
      </c>
      <c r="J323" s="65">
        <f>VLOOKUP(D323,BM!$A$2:$X$57,14,FALSE)</f>
        <v>0.16666666666666666</v>
      </c>
      <c r="K323" s="65"/>
      <c r="L323" s="49">
        <f t="shared" si="53"/>
        <v>9.1666666666666661</v>
      </c>
      <c r="M323" s="40">
        <v>1</v>
      </c>
      <c r="N323" s="57">
        <f t="shared" si="54"/>
        <v>10.166666666666666</v>
      </c>
    </row>
    <row r="324" spans="1:14" ht="18.75" customHeight="1">
      <c r="A324" s="40" t="s">
        <v>1093</v>
      </c>
      <c r="B324" s="40"/>
      <c r="C324" s="40"/>
      <c r="D324" s="40">
        <v>1000</v>
      </c>
      <c r="E324" s="40"/>
      <c r="F324" s="45"/>
      <c r="G324" s="40">
        <v>55</v>
      </c>
      <c r="H324" s="46">
        <f t="shared" si="55"/>
        <v>55</v>
      </c>
      <c r="I324" s="40" t="s">
        <v>1092</v>
      </c>
      <c r="J324" s="40">
        <f>VLOOKUP(D324,BM!$A$2:$X$57,13,FALSE)</f>
        <v>0.5</v>
      </c>
      <c r="K324" s="40"/>
      <c r="L324" s="49">
        <f t="shared" si="53"/>
        <v>27.5</v>
      </c>
      <c r="M324" s="40">
        <v>1</v>
      </c>
      <c r="N324" s="57">
        <f t="shared" si="54"/>
        <v>28.5</v>
      </c>
    </row>
    <row r="325" spans="1:14" ht="18.75" customHeight="1">
      <c r="A325" s="40" t="s">
        <v>719</v>
      </c>
      <c r="B325" s="40"/>
      <c r="C325" s="40"/>
      <c r="D325" s="40">
        <v>1000</v>
      </c>
      <c r="E325" s="40"/>
      <c r="F325" s="45"/>
      <c r="G325" s="40">
        <v>1</v>
      </c>
      <c r="H325" s="46">
        <f t="shared" si="55"/>
        <v>1</v>
      </c>
      <c r="I325" s="40" t="s">
        <v>81</v>
      </c>
      <c r="J325" s="40">
        <v>16</v>
      </c>
      <c r="K325" s="40"/>
      <c r="L325" s="49">
        <f t="shared" si="53"/>
        <v>16</v>
      </c>
      <c r="M325" s="40">
        <v>1</v>
      </c>
      <c r="N325" s="57">
        <f t="shared" si="54"/>
        <v>17</v>
      </c>
    </row>
    <row r="326" spans="1:14" ht="18.75" customHeight="1">
      <c r="A326" s="40" t="s">
        <v>1094</v>
      </c>
      <c r="B326" s="40"/>
      <c r="C326" s="40"/>
      <c r="D326" s="40">
        <v>1000</v>
      </c>
      <c r="E326" s="40"/>
      <c r="F326" s="45"/>
      <c r="G326" s="40">
        <v>55</v>
      </c>
      <c r="H326" s="46">
        <f t="shared" si="55"/>
        <v>55</v>
      </c>
      <c r="I326" s="40" t="s">
        <v>81</v>
      </c>
      <c r="J326" s="40">
        <f>VLOOKUP(D326,BM!$A$2:$X$57,13,FALSE)</f>
        <v>0.5</v>
      </c>
      <c r="K326" s="40"/>
      <c r="L326" s="49">
        <f t="shared" si="53"/>
        <v>27.5</v>
      </c>
      <c r="M326" s="40">
        <v>1</v>
      </c>
      <c r="N326" s="57">
        <f t="shared" si="54"/>
        <v>28.5</v>
      </c>
    </row>
    <row r="327" spans="1:14" ht="18.75" customHeight="1">
      <c r="A327" s="40" t="s">
        <v>677</v>
      </c>
      <c r="B327" s="40"/>
      <c r="C327" s="40"/>
      <c r="D327" s="40">
        <v>1000</v>
      </c>
      <c r="E327" s="40"/>
      <c r="F327" s="45"/>
      <c r="G327" s="40">
        <v>1</v>
      </c>
      <c r="H327" s="46">
        <f t="shared" si="55"/>
        <v>1</v>
      </c>
      <c r="I327" s="40" t="s">
        <v>81</v>
      </c>
      <c r="J327" s="40">
        <v>16</v>
      </c>
      <c r="K327" s="40"/>
      <c r="L327" s="49">
        <f t="shared" si="53"/>
        <v>16</v>
      </c>
      <c r="M327" s="40">
        <v>1</v>
      </c>
      <c r="N327" s="57">
        <f t="shared" si="54"/>
        <v>17</v>
      </c>
    </row>
    <row r="328" spans="1:14" ht="18.75" customHeight="1">
      <c r="H328" s="47"/>
      <c r="I328" s="47"/>
      <c r="J328" s="48"/>
      <c r="K328" s="48"/>
      <c r="L328" s="48"/>
      <c r="M328" s="48"/>
      <c r="N328" s="48"/>
    </row>
    <row r="329" spans="1:14" ht="18.75" customHeight="1">
      <c r="A329" s="40" t="s">
        <v>1095</v>
      </c>
      <c r="B329" s="40"/>
      <c r="C329" s="40"/>
      <c r="D329" s="40" t="s">
        <v>695</v>
      </c>
      <c r="E329" s="40"/>
      <c r="F329" s="45"/>
      <c r="G329" s="40"/>
      <c r="H329" s="46">
        <v>1</v>
      </c>
      <c r="I329" s="40" t="s">
        <v>39</v>
      </c>
      <c r="J329" s="40">
        <f>VLOOKUP(D329,BM!$A$2:$X$57,2,FALSE)</f>
        <v>2</v>
      </c>
      <c r="K329" s="40"/>
      <c r="L329" s="49">
        <f t="shared" ref="L329:L363" si="56">H329*J329</f>
        <v>2</v>
      </c>
      <c r="M329" s="40">
        <v>1</v>
      </c>
      <c r="N329" s="57">
        <f>L329+M329</f>
        <v>3</v>
      </c>
    </row>
    <row r="330" spans="1:14" ht="18.75" customHeight="1">
      <c r="A330" s="40" t="s">
        <v>1095</v>
      </c>
      <c r="B330" s="40"/>
      <c r="C330" s="40"/>
      <c r="D330" s="40" t="s">
        <v>695</v>
      </c>
      <c r="E330" s="40"/>
      <c r="F330" s="45"/>
      <c r="G330" s="40"/>
      <c r="H330" s="46">
        <v>1</v>
      </c>
      <c r="I330" s="40" t="s">
        <v>39</v>
      </c>
      <c r="J330" s="40">
        <f>VLOOKUP(D330,BM!$A$2:$X$57,2,FALSE)</f>
        <v>2</v>
      </c>
      <c r="K330" s="40"/>
      <c r="L330" s="49">
        <f t="shared" si="56"/>
        <v>2</v>
      </c>
      <c r="M330" s="40">
        <v>1</v>
      </c>
      <c r="N330" s="57">
        <f>L330+M330</f>
        <v>3</v>
      </c>
    </row>
    <row r="331" spans="1:14" ht="18.75" customHeight="1">
      <c r="H331" s="47"/>
      <c r="I331" s="47"/>
      <c r="J331" s="48"/>
      <c r="K331" s="48"/>
      <c r="L331" s="48"/>
      <c r="M331" s="48"/>
      <c r="N331" s="48"/>
    </row>
    <row r="332" spans="1:14" ht="18.75" customHeight="1">
      <c r="A332" s="40" t="s">
        <v>1096</v>
      </c>
      <c r="B332" s="40"/>
      <c r="C332" s="40"/>
      <c r="D332" s="40" t="s">
        <v>695</v>
      </c>
      <c r="E332" s="40"/>
      <c r="F332" s="45"/>
      <c r="G332" s="40"/>
      <c r="H332" s="46">
        <v>1</v>
      </c>
      <c r="I332" s="40" t="s">
        <v>39</v>
      </c>
      <c r="J332" s="40">
        <f>VLOOKUP(D332,BM!$A$2:$X$57,3,FALSE)</f>
        <v>1</v>
      </c>
      <c r="K332" s="40"/>
      <c r="L332" s="49">
        <f t="shared" si="56"/>
        <v>1</v>
      </c>
      <c r="M332" s="40">
        <v>1</v>
      </c>
      <c r="N332" s="57">
        <f>L332+M332</f>
        <v>2</v>
      </c>
    </row>
    <row r="333" spans="1:14" ht="18.75" customHeight="1">
      <c r="A333" s="40" t="s">
        <v>1096</v>
      </c>
      <c r="B333" s="40"/>
      <c r="C333" s="40"/>
      <c r="D333" s="40" t="s">
        <v>695</v>
      </c>
      <c r="E333" s="40"/>
      <c r="F333" s="45"/>
      <c r="G333" s="40"/>
      <c r="H333" s="46">
        <v>1</v>
      </c>
      <c r="I333" s="40" t="s">
        <v>39</v>
      </c>
      <c r="J333" s="40">
        <f>VLOOKUP(D333,BM!$A$2:$X$57,3,FALSE)</f>
        <v>1</v>
      </c>
      <c r="K333" s="40"/>
      <c r="L333" s="49">
        <f t="shared" si="56"/>
        <v>1</v>
      </c>
      <c r="M333" s="40">
        <v>1</v>
      </c>
      <c r="N333" s="57">
        <f>L333+M333</f>
        <v>2</v>
      </c>
    </row>
    <row r="334" spans="1:14" ht="18.75" customHeight="1">
      <c r="C334" s="35"/>
      <c r="D334" s="35"/>
      <c r="E334" s="35"/>
      <c r="F334" s="47"/>
      <c r="G334" s="35"/>
      <c r="H334" s="48"/>
      <c r="I334" s="35"/>
      <c r="N334" s="61"/>
    </row>
    <row r="335" spans="1:14" ht="18.75" customHeight="1">
      <c r="A335" s="40" t="s">
        <v>1097</v>
      </c>
      <c r="B335" s="40"/>
      <c r="C335" s="40"/>
      <c r="D335" s="40" t="s">
        <v>695</v>
      </c>
      <c r="E335" s="40"/>
      <c r="F335" s="45"/>
      <c r="G335" s="40"/>
      <c r="H335" s="46">
        <v>1</v>
      </c>
      <c r="I335" s="40" t="s">
        <v>39</v>
      </c>
      <c r="J335" s="40">
        <f>VLOOKUP(D335,BM!$A$2:$X$57,4,FALSE)</f>
        <v>2.5538175999999999</v>
      </c>
      <c r="K335" s="40"/>
      <c r="L335" s="49">
        <f t="shared" si="56"/>
        <v>2.5538175999999999</v>
      </c>
      <c r="M335" s="40">
        <v>1</v>
      </c>
      <c r="N335" s="57">
        <f>L335+M335</f>
        <v>3.5538175999999999</v>
      </c>
    </row>
    <row r="336" spans="1:14" ht="18.75" customHeight="1">
      <c r="A336" s="40" t="s">
        <v>1097</v>
      </c>
      <c r="B336" s="40"/>
      <c r="C336" s="40"/>
      <c r="D336" s="40" t="s">
        <v>695</v>
      </c>
      <c r="E336" s="40"/>
      <c r="F336" s="45"/>
      <c r="G336" s="40"/>
      <c r="H336" s="46">
        <v>1</v>
      </c>
      <c r="I336" s="40" t="s">
        <v>39</v>
      </c>
      <c r="J336" s="40">
        <f>VLOOKUP(D336,BM!$A$2:$X$57,4,FALSE)</f>
        <v>2.5538175999999999</v>
      </c>
      <c r="K336" s="40"/>
      <c r="L336" s="49">
        <f t="shared" si="56"/>
        <v>2.5538175999999999</v>
      </c>
      <c r="M336" s="40">
        <v>1</v>
      </c>
      <c r="N336" s="57">
        <f>L336+M336</f>
        <v>3.5538175999999999</v>
      </c>
    </row>
    <row r="337" spans="1:14" ht="18.75" customHeight="1">
      <c r="H337" s="47"/>
      <c r="I337" s="47"/>
      <c r="J337" s="48"/>
      <c r="K337" s="48"/>
      <c r="L337" s="48"/>
      <c r="M337" s="48"/>
      <c r="N337" s="48"/>
    </row>
    <row r="338" spans="1:14" ht="18.75" customHeight="1">
      <c r="A338" s="40" t="s">
        <v>1098</v>
      </c>
      <c r="B338" s="40"/>
      <c r="C338" s="40"/>
      <c r="D338" s="40" t="s">
        <v>695</v>
      </c>
      <c r="E338" s="40"/>
      <c r="F338" s="45"/>
      <c r="G338" s="40"/>
      <c r="H338" s="46">
        <v>1</v>
      </c>
      <c r="I338" s="40"/>
      <c r="J338" s="40">
        <f>VLOOKUP(D338,BM!$A$2:$X$57,5,FALSE)</f>
        <v>2</v>
      </c>
      <c r="K338" s="40"/>
      <c r="L338" s="49">
        <f t="shared" si="56"/>
        <v>2</v>
      </c>
      <c r="M338" s="40">
        <v>1</v>
      </c>
      <c r="N338" s="57">
        <f>L338+M338</f>
        <v>3</v>
      </c>
    </row>
    <row r="339" spans="1:14" ht="18.75" customHeight="1">
      <c r="A339" s="40" t="s">
        <v>1098</v>
      </c>
      <c r="B339" s="40"/>
      <c r="C339" s="40"/>
      <c r="D339" s="40" t="s">
        <v>695</v>
      </c>
      <c r="E339" s="40"/>
      <c r="F339" s="45"/>
      <c r="G339" s="40"/>
      <c r="H339" s="46">
        <v>1</v>
      </c>
      <c r="I339" s="40"/>
      <c r="J339" s="40">
        <f>VLOOKUP(D339,BM!$A$2:$X$57,5,FALSE)</f>
        <v>2</v>
      </c>
      <c r="K339" s="40"/>
      <c r="L339" s="49">
        <f t="shared" si="56"/>
        <v>2</v>
      </c>
      <c r="M339" s="40">
        <v>1</v>
      </c>
      <c r="N339" s="57">
        <f>L339+M339</f>
        <v>3</v>
      </c>
    </row>
    <row r="340" spans="1:14" ht="18.75" customHeight="1">
      <c r="H340" s="47"/>
      <c r="I340" s="47"/>
      <c r="J340" s="48"/>
      <c r="K340" s="48"/>
      <c r="L340" s="48"/>
      <c r="M340" s="48"/>
      <c r="N340" s="48"/>
    </row>
    <row r="341" spans="1:14" ht="18.75" customHeight="1">
      <c r="A341" s="37" t="s">
        <v>866</v>
      </c>
      <c r="B341" s="38" t="s">
        <v>867</v>
      </c>
      <c r="C341" s="38"/>
      <c r="D341" s="39" t="s">
        <v>2</v>
      </c>
      <c r="E341" s="39" t="s">
        <v>1099</v>
      </c>
      <c r="F341" s="39" t="s">
        <v>1100</v>
      </c>
      <c r="G341" s="39" t="s">
        <v>4</v>
      </c>
      <c r="H341" s="39" t="s">
        <v>870</v>
      </c>
      <c r="I341" s="39" t="s">
        <v>5</v>
      </c>
      <c r="J341" s="39" t="s">
        <v>871</v>
      </c>
      <c r="K341" s="39" t="s">
        <v>5</v>
      </c>
      <c r="L341" s="39" t="s">
        <v>870</v>
      </c>
      <c r="M341" s="39" t="s">
        <v>872</v>
      </c>
      <c r="N341" s="39" t="s">
        <v>873</v>
      </c>
    </row>
    <row r="342" spans="1:14" ht="18.75" customHeight="1">
      <c r="A342" s="40" t="s">
        <v>1101</v>
      </c>
      <c r="B342" s="40"/>
      <c r="C342" s="40"/>
      <c r="D342" s="63">
        <v>16</v>
      </c>
      <c r="E342" s="63" t="s">
        <v>695</v>
      </c>
      <c r="F342" s="64">
        <f>16*25.4</f>
        <v>406.4</v>
      </c>
      <c r="G342" s="63">
        <v>1</v>
      </c>
      <c r="H342" s="46">
        <f>F342*3.142*0.001*G342</f>
        <v>1.2769088</v>
      </c>
      <c r="I342" s="40"/>
      <c r="J342" s="40">
        <f>VLOOKUP(D342,BM!$A$2:$X$57,17,FALSE)</f>
        <v>4.0199999999999996</v>
      </c>
      <c r="K342" s="40"/>
      <c r="L342" s="49">
        <f t="shared" si="56"/>
        <v>5.1331733759999993</v>
      </c>
      <c r="M342" s="40">
        <v>1</v>
      </c>
      <c r="N342" s="57">
        <f>L342+M342</f>
        <v>6.1331733759999993</v>
      </c>
    </row>
    <row r="343" spans="1:14" ht="18.75" customHeight="1">
      <c r="A343" s="40" t="s">
        <v>1101</v>
      </c>
      <c r="B343" s="40"/>
      <c r="C343" s="40"/>
      <c r="D343" s="63">
        <v>16</v>
      </c>
      <c r="E343" s="63" t="s">
        <v>695</v>
      </c>
      <c r="F343" s="64">
        <v>406.4</v>
      </c>
      <c r="G343" s="63">
        <v>1</v>
      </c>
      <c r="H343" s="46">
        <f>F343*3.142*0.001*G343</f>
        <v>1.2769088</v>
      </c>
      <c r="I343" s="40"/>
      <c r="J343" s="40">
        <f>VLOOKUP(D343,BM!$A$2:$X$57,17,FALSE)</f>
        <v>4.0199999999999996</v>
      </c>
      <c r="K343" s="40"/>
      <c r="L343" s="49">
        <f t="shared" si="56"/>
        <v>5.1331733759999993</v>
      </c>
      <c r="M343" s="40">
        <v>1</v>
      </c>
      <c r="N343" s="57">
        <f>L343+M343</f>
        <v>6.1331733759999993</v>
      </c>
    </row>
    <row r="344" spans="1:14" ht="18.75" customHeight="1">
      <c r="H344" s="47"/>
      <c r="I344" s="47"/>
      <c r="J344" s="48"/>
      <c r="K344" s="48"/>
      <c r="L344" s="48"/>
      <c r="M344" s="48"/>
      <c r="N344" s="48"/>
    </row>
    <row r="345" spans="1:14" ht="18.75" customHeight="1">
      <c r="A345" s="37" t="s">
        <v>866</v>
      </c>
      <c r="B345" s="38" t="s">
        <v>867</v>
      </c>
      <c r="C345" s="38"/>
      <c r="D345" s="39" t="s">
        <v>2</v>
      </c>
      <c r="E345" s="39" t="s">
        <v>1099</v>
      </c>
      <c r="F345" s="39" t="s">
        <v>1100</v>
      </c>
      <c r="G345" s="39" t="s">
        <v>4</v>
      </c>
      <c r="H345" s="39" t="s">
        <v>870</v>
      </c>
      <c r="I345" s="39" t="s">
        <v>5</v>
      </c>
      <c r="J345" s="39" t="s">
        <v>871</v>
      </c>
      <c r="K345" s="39" t="s">
        <v>5</v>
      </c>
      <c r="L345" s="39" t="s">
        <v>870</v>
      </c>
      <c r="M345" s="39" t="s">
        <v>872</v>
      </c>
      <c r="N345" s="39" t="s">
        <v>873</v>
      </c>
    </row>
    <row r="346" spans="1:14" ht="18.75" customHeight="1">
      <c r="A346" s="40" t="s">
        <v>1102</v>
      </c>
      <c r="B346" s="40"/>
      <c r="C346" s="40"/>
      <c r="D346" s="63">
        <v>16</v>
      </c>
      <c r="E346" s="63" t="s">
        <v>695</v>
      </c>
      <c r="F346" s="64">
        <f>16*25.4</f>
        <v>406.4</v>
      </c>
      <c r="G346" s="63">
        <v>1</v>
      </c>
      <c r="H346" s="46">
        <f>F346*3.142*0.001*G346</f>
        <v>1.2769088</v>
      </c>
      <c r="I346" s="40"/>
      <c r="J346" s="40">
        <f>VLOOKUP(D346,BM!$A$2:$X$57,20,FALSE)</f>
        <v>0.5</v>
      </c>
      <c r="K346" s="40"/>
      <c r="L346" s="49">
        <f t="shared" ref="L346:L347" si="57">H346*J346</f>
        <v>0.63845439999999998</v>
      </c>
      <c r="M346" s="40">
        <v>1</v>
      </c>
      <c r="N346" s="57">
        <f>L346+M346</f>
        <v>1.6384544000000001</v>
      </c>
    </row>
    <row r="347" spans="1:14" ht="18.75" customHeight="1">
      <c r="A347" s="40" t="s">
        <v>1102</v>
      </c>
      <c r="B347" s="40"/>
      <c r="C347" s="40"/>
      <c r="D347" s="63">
        <v>16</v>
      </c>
      <c r="E347" s="63" t="s">
        <v>695</v>
      </c>
      <c r="F347" s="64">
        <v>406.4</v>
      </c>
      <c r="G347" s="63">
        <v>1</v>
      </c>
      <c r="H347" s="46">
        <f>F347*3.142*0.001*G347</f>
        <v>1.2769088</v>
      </c>
      <c r="I347" s="40"/>
      <c r="J347" s="40">
        <f>VLOOKUP(D347,BM!$A$2:$X$57,20,FALSE)</f>
        <v>0.5</v>
      </c>
      <c r="K347" s="40"/>
      <c r="L347" s="49">
        <f t="shared" si="57"/>
        <v>0.63845439999999998</v>
      </c>
      <c r="M347" s="40">
        <v>1</v>
      </c>
      <c r="N347" s="57">
        <f>L347+M347</f>
        <v>1.6384544000000001</v>
      </c>
    </row>
    <row r="348" spans="1:14" ht="18.75" customHeight="1">
      <c r="H348" s="47"/>
      <c r="I348" s="47"/>
      <c r="J348" s="48"/>
      <c r="K348" s="48"/>
      <c r="L348" s="48"/>
      <c r="M348" s="48"/>
      <c r="N348" s="48"/>
    </row>
    <row r="349" spans="1:14" ht="18.75" customHeight="1">
      <c r="A349" s="37" t="s">
        <v>866</v>
      </c>
      <c r="B349" s="38" t="s">
        <v>867</v>
      </c>
      <c r="C349" s="38"/>
      <c r="D349" s="39" t="s">
        <v>2</v>
      </c>
      <c r="E349" s="39" t="s">
        <v>1099</v>
      </c>
      <c r="F349" s="39" t="s">
        <v>1100</v>
      </c>
      <c r="G349" s="39" t="s">
        <v>4</v>
      </c>
      <c r="H349" s="39" t="s">
        <v>870</v>
      </c>
      <c r="I349" s="39" t="s">
        <v>5</v>
      </c>
      <c r="J349" s="39" t="s">
        <v>871</v>
      </c>
      <c r="K349" s="39" t="s">
        <v>5</v>
      </c>
      <c r="L349" s="39" t="s">
        <v>870</v>
      </c>
      <c r="M349" s="39" t="s">
        <v>872</v>
      </c>
      <c r="N349" s="39" t="s">
        <v>873</v>
      </c>
    </row>
    <row r="350" spans="1:14" ht="18.75" customHeight="1">
      <c r="A350" s="40" t="s">
        <v>1103</v>
      </c>
      <c r="B350" s="40"/>
      <c r="C350" s="40"/>
      <c r="D350" s="63" t="s">
        <v>695</v>
      </c>
      <c r="E350" s="40"/>
      <c r="F350" s="45"/>
      <c r="G350" s="63">
        <v>1</v>
      </c>
      <c r="H350" s="66">
        <v>1</v>
      </c>
      <c r="I350" s="40"/>
      <c r="J350" s="40">
        <f>VLOOKUP(D350,BM!$A$2:$X$57,8,FALSE)</f>
        <v>1</v>
      </c>
      <c r="K350" s="40"/>
      <c r="L350" s="49">
        <f t="shared" ref="L350" si="58">H350*J350</f>
        <v>1</v>
      </c>
      <c r="M350" s="40">
        <v>1</v>
      </c>
      <c r="N350" s="57">
        <f>L350+M350</f>
        <v>2</v>
      </c>
    </row>
    <row r="351" spans="1:14" ht="18.75" customHeight="1">
      <c r="A351" s="40" t="s">
        <v>1103</v>
      </c>
      <c r="B351" s="40"/>
      <c r="C351" s="40"/>
      <c r="D351" s="63" t="s">
        <v>695</v>
      </c>
      <c r="E351" s="40"/>
      <c r="F351" s="45"/>
      <c r="G351" s="63">
        <v>1</v>
      </c>
      <c r="H351" s="66">
        <v>1</v>
      </c>
      <c r="I351" s="40"/>
      <c r="J351" s="40">
        <f>VLOOKUP(D351,BM!$A$2:$X$57,8,FALSE)</f>
        <v>1</v>
      </c>
      <c r="K351" s="40"/>
      <c r="L351" s="49">
        <f t="shared" si="56"/>
        <v>1</v>
      </c>
      <c r="M351" s="40">
        <v>1</v>
      </c>
      <c r="N351" s="57">
        <f>L351+M351</f>
        <v>2</v>
      </c>
    </row>
    <row r="352" spans="1:14" ht="18.75" customHeight="1">
      <c r="H352" s="47"/>
      <c r="I352" s="47"/>
      <c r="J352" s="48"/>
      <c r="K352" s="48"/>
      <c r="L352" s="48"/>
      <c r="M352" s="48"/>
      <c r="N352" s="48"/>
    </row>
    <row r="353" spans="1:14" ht="18.75" customHeight="1">
      <c r="A353" s="37" t="s">
        <v>866</v>
      </c>
      <c r="B353" s="38" t="s">
        <v>867</v>
      </c>
      <c r="C353" s="38"/>
      <c r="D353" s="39" t="s">
        <v>2</v>
      </c>
      <c r="E353" s="39" t="s">
        <v>1099</v>
      </c>
      <c r="F353" s="39" t="s">
        <v>1100</v>
      </c>
      <c r="G353" s="39" t="s">
        <v>4</v>
      </c>
      <c r="H353" s="39" t="s">
        <v>870</v>
      </c>
      <c r="I353" s="39" t="s">
        <v>5</v>
      </c>
      <c r="J353" s="39" t="s">
        <v>871</v>
      </c>
      <c r="K353" s="39" t="s">
        <v>5</v>
      </c>
      <c r="L353" s="39" t="s">
        <v>870</v>
      </c>
      <c r="M353" s="39" t="s">
        <v>872</v>
      </c>
      <c r="N353" s="39" t="s">
        <v>873</v>
      </c>
    </row>
    <row r="354" spans="1:14" ht="18.75" customHeight="1">
      <c r="A354" s="40" t="s">
        <v>1104</v>
      </c>
      <c r="B354" s="40"/>
      <c r="C354" s="40"/>
      <c r="D354" s="63" t="s">
        <v>695</v>
      </c>
      <c r="E354" s="40"/>
      <c r="F354" s="45"/>
      <c r="G354" s="63">
        <v>1</v>
      </c>
      <c r="H354" s="66">
        <v>1</v>
      </c>
      <c r="I354" s="40"/>
      <c r="J354" s="40">
        <f>VLOOKUP(D354,BM!$A$2:$X$57,8,FALSE)</f>
        <v>1</v>
      </c>
      <c r="K354" s="40"/>
      <c r="L354" s="49">
        <f t="shared" ref="L354:L355" si="59">H354*J354</f>
        <v>1</v>
      </c>
      <c r="M354" s="40">
        <v>1</v>
      </c>
      <c r="N354" s="57">
        <f>L354+M354</f>
        <v>2</v>
      </c>
    </row>
    <row r="355" spans="1:14" ht="18.75" customHeight="1">
      <c r="A355" s="40" t="s">
        <v>1104</v>
      </c>
      <c r="B355" s="40"/>
      <c r="C355" s="40"/>
      <c r="D355" s="63" t="s">
        <v>695</v>
      </c>
      <c r="E355" s="40"/>
      <c r="F355" s="45"/>
      <c r="G355" s="63">
        <v>1</v>
      </c>
      <c r="H355" s="66">
        <v>1</v>
      </c>
      <c r="I355" s="40"/>
      <c r="J355" s="40">
        <f>VLOOKUP(D355,BM!$A$2:$X$57,8,FALSE)</f>
        <v>1</v>
      </c>
      <c r="K355" s="40"/>
      <c r="L355" s="49">
        <f t="shared" si="59"/>
        <v>1</v>
      </c>
      <c r="M355" s="40">
        <v>1</v>
      </c>
      <c r="N355" s="57">
        <f>L355+M355</f>
        <v>2</v>
      </c>
    </row>
    <row r="356" spans="1:14" ht="18.75" customHeight="1">
      <c r="H356" s="47"/>
      <c r="I356" s="47"/>
      <c r="J356" s="48"/>
      <c r="K356" s="48"/>
      <c r="L356" s="48"/>
      <c r="M356" s="48"/>
      <c r="N356" s="48"/>
    </row>
    <row r="357" spans="1:14" ht="18.75" customHeight="1">
      <c r="A357" s="37" t="s">
        <v>866</v>
      </c>
      <c r="B357" s="38" t="s">
        <v>867</v>
      </c>
      <c r="C357" s="38"/>
      <c r="D357" s="39" t="s">
        <v>2</v>
      </c>
      <c r="E357" s="39" t="s">
        <v>1099</v>
      </c>
      <c r="F357" s="39" t="s">
        <v>1100</v>
      </c>
      <c r="G357" s="39" t="s">
        <v>4</v>
      </c>
      <c r="H357" s="39" t="s">
        <v>870</v>
      </c>
      <c r="I357" s="39" t="s">
        <v>5</v>
      </c>
      <c r="J357" s="39" t="s">
        <v>871</v>
      </c>
      <c r="K357" s="39" t="s">
        <v>5</v>
      </c>
      <c r="L357" s="39" t="s">
        <v>870</v>
      </c>
      <c r="M357" s="39" t="s">
        <v>872</v>
      </c>
      <c r="N357" s="39" t="s">
        <v>873</v>
      </c>
    </row>
    <row r="358" spans="1:14" ht="18.75" customHeight="1">
      <c r="A358" s="40" t="s">
        <v>1105</v>
      </c>
      <c r="B358" s="40"/>
      <c r="C358" s="40"/>
      <c r="D358" s="63" t="s">
        <v>695</v>
      </c>
      <c r="E358" s="40"/>
      <c r="F358" s="45"/>
      <c r="G358" s="63">
        <v>1</v>
      </c>
      <c r="H358" s="66">
        <v>1</v>
      </c>
      <c r="I358" s="40"/>
      <c r="J358" s="40">
        <f>VLOOKUP(D358,BM!$A$2:$X$57,8,FALSE)</f>
        <v>1</v>
      </c>
      <c r="K358" s="40"/>
      <c r="L358" s="49">
        <f t="shared" ref="L358:L359" si="60">H358*J358</f>
        <v>1</v>
      </c>
      <c r="M358" s="40">
        <v>1</v>
      </c>
      <c r="N358" s="57">
        <f>L358+M358</f>
        <v>2</v>
      </c>
    </row>
    <row r="359" spans="1:14" ht="18.75" customHeight="1">
      <c r="A359" s="40" t="s">
        <v>1105</v>
      </c>
      <c r="B359" s="40"/>
      <c r="C359" s="40"/>
      <c r="D359" s="63" t="s">
        <v>695</v>
      </c>
      <c r="E359" s="40"/>
      <c r="F359" s="45"/>
      <c r="G359" s="63">
        <v>1</v>
      </c>
      <c r="H359" s="66">
        <v>1</v>
      </c>
      <c r="I359" s="40"/>
      <c r="J359" s="40">
        <f>VLOOKUP(D359,BM!$A$2:$X$57,8,FALSE)</f>
        <v>1</v>
      </c>
      <c r="K359" s="40"/>
      <c r="L359" s="49">
        <f t="shared" si="60"/>
        <v>1</v>
      </c>
      <c r="M359" s="40">
        <v>1</v>
      </c>
      <c r="N359" s="57">
        <f>L359+M359</f>
        <v>2</v>
      </c>
    </row>
    <row r="360" spans="1:14" ht="18.75" customHeight="1">
      <c r="H360" s="47"/>
      <c r="I360" s="47"/>
      <c r="J360" s="48"/>
      <c r="K360" s="48"/>
      <c r="L360" s="48"/>
      <c r="M360" s="48"/>
      <c r="N360" s="48"/>
    </row>
    <row r="361" spans="1:14" ht="18.75" customHeight="1">
      <c r="A361" s="37" t="s">
        <v>866</v>
      </c>
      <c r="B361" s="38" t="s">
        <v>867</v>
      </c>
      <c r="C361" s="38"/>
      <c r="D361" s="39" t="s">
        <v>1106</v>
      </c>
      <c r="E361" s="39" t="s">
        <v>1099</v>
      </c>
      <c r="F361" s="39" t="s">
        <v>1100</v>
      </c>
      <c r="G361" s="39" t="s">
        <v>4</v>
      </c>
      <c r="H361" s="39" t="s">
        <v>870</v>
      </c>
      <c r="I361" s="39" t="s">
        <v>5</v>
      </c>
      <c r="J361" s="39" t="s">
        <v>871</v>
      </c>
      <c r="K361" s="39" t="s">
        <v>5</v>
      </c>
      <c r="L361" s="39" t="s">
        <v>870</v>
      </c>
      <c r="M361" s="39" t="s">
        <v>872</v>
      </c>
      <c r="N361" s="39" t="s">
        <v>873</v>
      </c>
    </row>
    <row r="362" spans="1:14" ht="18.75" customHeight="1">
      <c r="A362" s="40" t="s">
        <v>828</v>
      </c>
      <c r="B362" s="40"/>
      <c r="C362" s="40"/>
      <c r="D362" s="40" t="s">
        <v>695</v>
      </c>
      <c r="E362" s="40"/>
      <c r="F362" s="45"/>
      <c r="G362" s="63">
        <v>1</v>
      </c>
      <c r="H362" s="66">
        <v>1</v>
      </c>
      <c r="I362" s="40" t="s">
        <v>564</v>
      </c>
      <c r="J362" s="40">
        <f>VLOOKUP(D362,BM!$A$2:$X$57,18,FALSE)</f>
        <v>2</v>
      </c>
      <c r="K362" s="40"/>
      <c r="L362" s="49">
        <f t="shared" si="56"/>
        <v>2</v>
      </c>
      <c r="M362" s="40">
        <v>1</v>
      </c>
      <c r="N362" s="57">
        <f>L362+M362</f>
        <v>3</v>
      </c>
    </row>
    <row r="363" spans="1:14" ht="18.75" customHeight="1">
      <c r="A363" s="40" t="s">
        <v>828</v>
      </c>
      <c r="B363" s="40"/>
      <c r="C363" s="40"/>
      <c r="D363" s="40" t="s">
        <v>695</v>
      </c>
      <c r="E363" s="40"/>
      <c r="F363" s="45"/>
      <c r="G363" s="63">
        <v>1</v>
      </c>
      <c r="H363" s="66">
        <v>1</v>
      </c>
      <c r="I363" s="40" t="s">
        <v>564</v>
      </c>
      <c r="J363" s="40">
        <f>VLOOKUP(D363,BM!$A$2:$X$57,18,FALSE)</f>
        <v>2</v>
      </c>
      <c r="K363" s="40"/>
      <c r="L363" s="49">
        <f t="shared" si="56"/>
        <v>2</v>
      </c>
      <c r="M363" s="40">
        <v>1</v>
      </c>
      <c r="N363" s="57">
        <f>L363+M363</f>
        <v>3</v>
      </c>
    </row>
    <row r="364" spans="1:14" ht="18.75" customHeight="1">
      <c r="H364" s="47"/>
      <c r="I364" s="47"/>
      <c r="J364" s="48"/>
      <c r="K364" s="48"/>
      <c r="L364" s="48"/>
      <c r="M364" s="48"/>
      <c r="N364" s="48"/>
    </row>
    <row r="365" spans="1:14" ht="18.75" customHeight="1">
      <c r="A365" s="37" t="s">
        <v>866</v>
      </c>
      <c r="B365" s="38" t="s">
        <v>867</v>
      </c>
      <c r="C365" s="38"/>
      <c r="D365" s="39" t="s">
        <v>2</v>
      </c>
      <c r="E365" s="39" t="s">
        <v>1099</v>
      </c>
      <c r="F365" s="39" t="s">
        <v>1100</v>
      </c>
      <c r="G365" s="39" t="s">
        <v>4</v>
      </c>
      <c r="H365" s="39" t="s">
        <v>870</v>
      </c>
      <c r="I365" s="39" t="s">
        <v>5</v>
      </c>
      <c r="J365" s="39" t="s">
        <v>871</v>
      </c>
      <c r="K365" s="39" t="s">
        <v>5</v>
      </c>
      <c r="L365" s="39" t="s">
        <v>870</v>
      </c>
      <c r="M365" s="39" t="s">
        <v>872</v>
      </c>
      <c r="N365" s="39" t="s">
        <v>873</v>
      </c>
    </row>
    <row r="366" spans="1:14" ht="18.75" customHeight="1">
      <c r="A366" s="40" t="s">
        <v>822</v>
      </c>
      <c r="B366" s="40"/>
      <c r="C366" s="40"/>
      <c r="D366" s="40" t="s">
        <v>695</v>
      </c>
      <c r="E366" s="40"/>
      <c r="F366" s="45"/>
      <c r="G366" s="63">
        <v>1</v>
      </c>
      <c r="H366" s="66">
        <v>1</v>
      </c>
      <c r="I366" s="40" t="s">
        <v>564</v>
      </c>
      <c r="J366" s="40">
        <f>VLOOKUP(D366,BM!$A$2:$X$57,12,FALSE)</f>
        <v>2</v>
      </c>
      <c r="K366" s="40"/>
      <c r="L366" s="49">
        <f t="shared" ref="L366:L367" si="61">H366*J366</f>
        <v>2</v>
      </c>
      <c r="M366" s="40">
        <v>1</v>
      </c>
      <c r="N366" s="57">
        <f>L366+M366</f>
        <v>3</v>
      </c>
    </row>
    <row r="367" spans="1:14" ht="18.75" customHeight="1">
      <c r="A367" s="40" t="s">
        <v>822</v>
      </c>
      <c r="B367" s="40"/>
      <c r="C367" s="40"/>
      <c r="D367" s="40" t="s">
        <v>695</v>
      </c>
      <c r="E367" s="40"/>
      <c r="F367" s="45"/>
      <c r="G367" s="63">
        <v>1</v>
      </c>
      <c r="H367" s="66">
        <v>1</v>
      </c>
      <c r="I367" s="40" t="s">
        <v>564</v>
      </c>
      <c r="J367" s="40">
        <f>VLOOKUP(D367,BM!$A$2:$X$57,12,FALSE)</f>
        <v>2</v>
      </c>
      <c r="K367" s="40"/>
      <c r="L367" s="49">
        <f t="shared" si="61"/>
        <v>2</v>
      </c>
      <c r="M367" s="40">
        <v>1</v>
      </c>
      <c r="N367" s="57">
        <f>L367+M367</f>
        <v>3</v>
      </c>
    </row>
    <row r="368" spans="1:14" ht="18.75" customHeight="1">
      <c r="H368" s="47"/>
      <c r="I368" s="47"/>
      <c r="J368" s="48"/>
      <c r="K368" s="48"/>
      <c r="L368" s="48"/>
      <c r="M368" s="48"/>
      <c r="N368" s="48"/>
    </row>
    <row r="369" spans="1:14" ht="18.75" customHeight="1">
      <c r="A369" s="37" t="s">
        <v>866</v>
      </c>
      <c r="B369" s="38" t="s">
        <v>867</v>
      </c>
      <c r="C369" s="38"/>
      <c r="D369" s="39" t="s">
        <v>2</v>
      </c>
      <c r="E369" s="39" t="s">
        <v>1099</v>
      </c>
      <c r="F369" s="39" t="s">
        <v>1100</v>
      </c>
      <c r="G369" s="39" t="s">
        <v>4</v>
      </c>
      <c r="H369" s="39" t="s">
        <v>870</v>
      </c>
      <c r="I369" s="39" t="s">
        <v>5</v>
      </c>
      <c r="J369" s="39" t="s">
        <v>871</v>
      </c>
      <c r="K369" s="39" t="s">
        <v>5</v>
      </c>
      <c r="L369" s="39" t="s">
        <v>870</v>
      </c>
      <c r="M369" s="39" t="s">
        <v>872</v>
      </c>
      <c r="N369" s="39" t="s">
        <v>873</v>
      </c>
    </row>
    <row r="370" spans="1:14" ht="18.75" customHeight="1">
      <c r="A370" s="40" t="s">
        <v>1107</v>
      </c>
      <c r="B370" s="40"/>
      <c r="C370" s="40"/>
      <c r="D370" s="40" t="s">
        <v>695</v>
      </c>
      <c r="E370" s="40"/>
      <c r="F370" s="45"/>
      <c r="G370" s="63">
        <v>1</v>
      </c>
      <c r="H370" s="66">
        <v>1</v>
      </c>
      <c r="I370" s="40" t="s">
        <v>564</v>
      </c>
      <c r="J370" s="40">
        <f>VLOOKUP(D370,BM!$A$2:$X$57,13,FALSE)</f>
        <v>2</v>
      </c>
      <c r="K370" s="40"/>
      <c r="L370" s="49">
        <f t="shared" ref="L370:L371" si="62">H370*J370</f>
        <v>2</v>
      </c>
      <c r="M370" s="40">
        <v>1</v>
      </c>
      <c r="N370" s="57">
        <f>L370+M370</f>
        <v>3</v>
      </c>
    </row>
    <row r="371" spans="1:14" ht="18.75" customHeight="1">
      <c r="A371" s="40" t="s">
        <v>1107</v>
      </c>
      <c r="B371" s="40"/>
      <c r="C371" s="40"/>
      <c r="D371" s="40" t="s">
        <v>695</v>
      </c>
      <c r="E371" s="40"/>
      <c r="F371" s="45"/>
      <c r="G371" s="63">
        <v>1</v>
      </c>
      <c r="H371" s="66">
        <v>1</v>
      </c>
      <c r="I371" s="40" t="s">
        <v>564</v>
      </c>
      <c r="J371" s="40">
        <f>VLOOKUP(D371,BM!$A$2:$X$57,13,FALSE)</f>
        <v>2</v>
      </c>
      <c r="K371" s="40"/>
      <c r="L371" s="49">
        <f t="shared" si="62"/>
        <v>2</v>
      </c>
      <c r="M371" s="40">
        <v>1</v>
      </c>
      <c r="N371" s="57">
        <f>L371+M371</f>
        <v>3</v>
      </c>
    </row>
    <row r="372" spans="1:14" ht="18.75" customHeight="1">
      <c r="H372" s="47"/>
      <c r="I372" s="47"/>
      <c r="J372" s="48"/>
      <c r="K372" s="48"/>
      <c r="L372" s="48"/>
      <c r="M372" s="48"/>
      <c r="N372" s="48"/>
    </row>
    <row r="373" spans="1:14" ht="18.75" customHeight="1">
      <c r="A373" s="37" t="s">
        <v>866</v>
      </c>
      <c r="B373" s="38" t="s">
        <v>867</v>
      </c>
      <c r="C373" s="38"/>
      <c r="D373" s="39" t="s">
        <v>2</v>
      </c>
      <c r="E373" s="39" t="s">
        <v>1099</v>
      </c>
      <c r="F373" s="39" t="s">
        <v>1100</v>
      </c>
      <c r="G373" s="39" t="s">
        <v>4</v>
      </c>
      <c r="H373" s="39" t="s">
        <v>870</v>
      </c>
      <c r="I373" s="39" t="s">
        <v>5</v>
      </c>
      <c r="J373" s="39" t="s">
        <v>871</v>
      </c>
      <c r="K373" s="39" t="s">
        <v>5</v>
      </c>
      <c r="L373" s="39" t="s">
        <v>870</v>
      </c>
      <c r="M373" s="39" t="s">
        <v>872</v>
      </c>
      <c r="N373" s="39" t="s">
        <v>873</v>
      </c>
    </row>
    <row r="374" spans="1:14" ht="18.75" customHeight="1">
      <c r="A374" s="40" t="s">
        <v>824</v>
      </c>
      <c r="B374" s="40"/>
      <c r="C374" s="40"/>
      <c r="D374" s="40" t="s">
        <v>695</v>
      </c>
      <c r="E374" s="40"/>
      <c r="F374" s="45"/>
      <c r="G374" s="63">
        <v>1</v>
      </c>
      <c r="H374" s="66">
        <v>1</v>
      </c>
      <c r="I374" s="40" t="s">
        <v>564</v>
      </c>
      <c r="J374" s="40">
        <f>VLOOKUP(D374,BM!$A$2:$X$57,14,FALSE)</f>
        <v>3</v>
      </c>
      <c r="K374" s="40"/>
      <c r="L374" s="49">
        <f t="shared" ref="L374:L375" si="63">H374*J374</f>
        <v>3</v>
      </c>
      <c r="M374" s="40">
        <v>1</v>
      </c>
      <c r="N374" s="57">
        <f>L374+M374</f>
        <v>4</v>
      </c>
    </row>
    <row r="375" spans="1:14" ht="18.75" customHeight="1">
      <c r="A375" s="40" t="s">
        <v>824</v>
      </c>
      <c r="B375" s="40"/>
      <c r="C375" s="40"/>
      <c r="D375" s="40" t="s">
        <v>695</v>
      </c>
      <c r="E375" s="40"/>
      <c r="F375" s="45"/>
      <c r="G375" s="63">
        <v>1</v>
      </c>
      <c r="H375" s="66">
        <v>1</v>
      </c>
      <c r="I375" s="40" t="s">
        <v>564</v>
      </c>
      <c r="J375" s="40">
        <f>VLOOKUP(D374,BM!$A$2:$X$57,14,FALSE)</f>
        <v>3</v>
      </c>
      <c r="K375" s="40"/>
      <c r="L375" s="49">
        <f t="shared" si="63"/>
        <v>3</v>
      </c>
      <c r="M375" s="40">
        <v>1</v>
      </c>
      <c r="N375" s="57">
        <f>L375+M375</f>
        <v>4</v>
      </c>
    </row>
    <row r="376" spans="1:14" ht="18.75" customHeight="1">
      <c r="H376" s="47"/>
      <c r="I376" s="47"/>
      <c r="J376" s="48"/>
      <c r="K376" s="48"/>
      <c r="L376" s="48"/>
      <c r="M376" s="48"/>
      <c r="N376" s="48"/>
    </row>
    <row r="377" spans="1:14" ht="18.75" customHeight="1">
      <c r="A377" s="37" t="s">
        <v>866</v>
      </c>
      <c r="B377" s="38" t="s">
        <v>867</v>
      </c>
      <c r="C377" s="38"/>
      <c r="D377" s="39" t="s">
        <v>2</v>
      </c>
      <c r="E377" s="39" t="s">
        <v>1108</v>
      </c>
      <c r="F377" s="39" t="s">
        <v>1109</v>
      </c>
      <c r="G377" s="39" t="s">
        <v>4</v>
      </c>
      <c r="H377" s="39" t="s">
        <v>870</v>
      </c>
      <c r="I377" s="39" t="s">
        <v>5</v>
      </c>
      <c r="J377" s="39" t="s">
        <v>871</v>
      </c>
      <c r="K377" s="39" t="s">
        <v>5</v>
      </c>
      <c r="L377" s="39" t="s">
        <v>870</v>
      </c>
      <c r="M377" s="39" t="s">
        <v>872</v>
      </c>
      <c r="N377" s="39" t="s">
        <v>873</v>
      </c>
    </row>
    <row r="378" spans="1:14" ht="18.75" customHeight="1">
      <c r="A378" s="40" t="s">
        <v>1110</v>
      </c>
      <c r="B378" s="40" t="s">
        <v>875</v>
      </c>
      <c r="C378" s="40"/>
      <c r="D378" s="40">
        <v>25</v>
      </c>
      <c r="E378" s="40">
        <v>320</v>
      </c>
      <c r="F378" s="45">
        <v>1736</v>
      </c>
      <c r="G378" s="40">
        <v>0</v>
      </c>
      <c r="H378" s="46">
        <f t="shared" ref="H378:H383" si="64">(E378*2*0.001+F378*2*0.001)*G378</f>
        <v>0</v>
      </c>
      <c r="I378" s="40"/>
      <c r="J378" s="40">
        <f>VLOOKUP(D378,BM!$A$2:$X$57,2,FALSE)</f>
        <v>0.1</v>
      </c>
      <c r="K378" s="40"/>
      <c r="L378" s="49">
        <f t="shared" ref="L378:L391" si="65">H378*J378</f>
        <v>0</v>
      </c>
      <c r="M378" s="40">
        <v>1</v>
      </c>
      <c r="N378" s="57">
        <f t="shared" ref="N378:N383" si="66">L378+M378</f>
        <v>1</v>
      </c>
    </row>
    <row r="379" spans="1:14" ht="18.75" customHeight="1">
      <c r="A379" s="40" t="s">
        <v>1111</v>
      </c>
      <c r="B379" s="40" t="s">
        <v>875</v>
      </c>
      <c r="C379" s="40"/>
      <c r="D379" s="40">
        <v>25</v>
      </c>
      <c r="E379" s="40">
        <v>320</v>
      </c>
      <c r="F379" s="45">
        <v>4904</v>
      </c>
      <c r="G379" s="40">
        <v>2</v>
      </c>
      <c r="H379" s="46">
        <f t="shared" si="64"/>
        <v>20.896000000000001</v>
      </c>
      <c r="I379" s="40"/>
      <c r="J379" s="40">
        <f>VLOOKUP(D379,BM!$A$2:$X$57,2,FALSE)</f>
        <v>0.1</v>
      </c>
      <c r="K379" s="40"/>
      <c r="L379" s="49">
        <f t="shared" si="65"/>
        <v>2.0896000000000003</v>
      </c>
      <c r="M379" s="40">
        <v>1</v>
      </c>
      <c r="N379" s="57">
        <f t="shared" si="66"/>
        <v>3.0896000000000003</v>
      </c>
    </row>
    <row r="380" spans="1:14" ht="18.75" customHeight="1">
      <c r="A380" s="40" t="s">
        <v>1112</v>
      </c>
      <c r="B380" s="40" t="s">
        <v>875</v>
      </c>
      <c r="C380" s="40"/>
      <c r="D380" s="40">
        <v>30</v>
      </c>
      <c r="E380" s="40">
        <v>320</v>
      </c>
      <c r="F380" s="45">
        <v>1890</v>
      </c>
      <c r="G380" s="40">
        <v>0</v>
      </c>
      <c r="H380" s="46">
        <f t="shared" si="64"/>
        <v>0</v>
      </c>
      <c r="I380" s="40"/>
      <c r="J380" s="40">
        <f>VLOOKUP(D380,BM!$A$2:$X$57,2,FALSE)</f>
        <v>0.1</v>
      </c>
      <c r="K380" s="40"/>
      <c r="L380" s="49">
        <f t="shared" si="65"/>
        <v>0</v>
      </c>
      <c r="M380" s="40">
        <v>1</v>
      </c>
      <c r="N380" s="57">
        <f t="shared" si="66"/>
        <v>1</v>
      </c>
    </row>
    <row r="381" spans="1:14" ht="18.75" customHeight="1">
      <c r="A381" s="40" t="s">
        <v>1113</v>
      </c>
      <c r="B381" s="40" t="s">
        <v>875</v>
      </c>
      <c r="C381" s="40"/>
      <c r="D381" s="40">
        <v>30</v>
      </c>
      <c r="E381" s="40">
        <v>320</v>
      </c>
      <c r="F381" s="45">
        <v>1890</v>
      </c>
      <c r="G381" s="40">
        <v>4</v>
      </c>
      <c r="H381" s="46">
        <f t="shared" si="64"/>
        <v>17.68</v>
      </c>
      <c r="I381" s="40"/>
      <c r="J381" s="40">
        <f>VLOOKUP(D381,BM!$A$2:$X$57,2,FALSE)</f>
        <v>0.1</v>
      </c>
      <c r="K381" s="40"/>
      <c r="L381" s="49">
        <f t="shared" si="65"/>
        <v>1.768</v>
      </c>
      <c r="M381" s="40">
        <v>1</v>
      </c>
      <c r="N381" s="57">
        <f t="shared" si="66"/>
        <v>2.7679999999999998</v>
      </c>
    </row>
    <row r="382" spans="1:14" ht="18.75" customHeight="1">
      <c r="A382" s="40" t="s">
        <v>1114</v>
      </c>
      <c r="B382" s="40" t="s">
        <v>875</v>
      </c>
      <c r="C382" s="40"/>
      <c r="D382" s="40">
        <v>25</v>
      </c>
      <c r="E382" s="40">
        <v>2336</v>
      </c>
      <c r="F382" s="45">
        <v>1890</v>
      </c>
      <c r="G382" s="40">
        <v>0</v>
      </c>
      <c r="H382" s="46">
        <f t="shared" si="64"/>
        <v>0</v>
      </c>
      <c r="I382" s="40"/>
      <c r="J382" s="40">
        <f>VLOOKUP(D382,BM!$A$2:$X$57,2,FALSE)</f>
        <v>0.1</v>
      </c>
      <c r="K382" s="40"/>
      <c r="L382" s="49">
        <f t="shared" si="65"/>
        <v>0</v>
      </c>
      <c r="M382" s="40">
        <v>1</v>
      </c>
      <c r="N382" s="57">
        <f t="shared" si="66"/>
        <v>1</v>
      </c>
    </row>
    <row r="383" spans="1:14" ht="18.75" customHeight="1">
      <c r="A383" s="40" t="s">
        <v>1115</v>
      </c>
      <c r="B383" s="40" t="s">
        <v>875</v>
      </c>
      <c r="C383" s="40"/>
      <c r="D383" s="40">
        <v>30</v>
      </c>
      <c r="E383" s="40">
        <v>135</v>
      </c>
      <c r="F383" s="45">
        <v>400</v>
      </c>
      <c r="G383" s="40">
        <v>16</v>
      </c>
      <c r="H383" s="46">
        <f t="shared" si="64"/>
        <v>17.12</v>
      </c>
      <c r="I383" s="40"/>
      <c r="J383" s="40">
        <f>VLOOKUP(D383,BM!$A$2:$X$57,2,FALSE)</f>
        <v>0.1</v>
      </c>
      <c r="K383" s="40"/>
      <c r="L383" s="49">
        <f t="shared" si="65"/>
        <v>1.7120000000000002</v>
      </c>
      <c r="M383" s="40">
        <v>1</v>
      </c>
      <c r="N383" s="57">
        <f t="shared" si="66"/>
        <v>2.7120000000000002</v>
      </c>
    </row>
    <row r="384" spans="1:14" ht="18.75" customHeight="1">
      <c r="C384" s="35"/>
      <c r="D384" s="35"/>
      <c r="E384" s="35"/>
      <c r="F384" s="47"/>
      <c r="G384" s="35"/>
      <c r="H384" s="48"/>
      <c r="I384" s="35"/>
      <c r="J384" s="35"/>
      <c r="K384" s="35"/>
      <c r="L384" s="54"/>
      <c r="M384" s="35"/>
      <c r="N384" s="67">
        <f>SUM(N378:N383)</f>
        <v>11.569600000000001</v>
      </c>
    </row>
    <row r="385" spans="1:14" ht="18.75" customHeight="1">
      <c r="A385" s="37" t="s">
        <v>866</v>
      </c>
      <c r="B385" s="38" t="s">
        <v>867</v>
      </c>
      <c r="C385" s="38"/>
      <c r="D385" s="39" t="s">
        <v>2</v>
      </c>
      <c r="E385" s="39" t="s">
        <v>1099</v>
      </c>
      <c r="F385" s="39" t="s">
        <v>1100</v>
      </c>
      <c r="G385" s="39" t="s">
        <v>4</v>
      </c>
      <c r="H385" s="39" t="s">
        <v>870</v>
      </c>
      <c r="I385" s="39" t="s">
        <v>5</v>
      </c>
      <c r="J385" s="39" t="s">
        <v>871</v>
      </c>
      <c r="K385" s="39" t="s">
        <v>5</v>
      </c>
      <c r="L385" s="39" t="s">
        <v>870</v>
      </c>
      <c r="M385" s="39" t="s">
        <v>872</v>
      </c>
      <c r="N385" s="39" t="s">
        <v>873</v>
      </c>
    </row>
    <row r="386" spans="1:14" ht="18.75" customHeight="1">
      <c r="A386" s="40" t="s">
        <v>1116</v>
      </c>
      <c r="B386" s="40" t="s">
        <v>875</v>
      </c>
      <c r="C386" s="40"/>
      <c r="D386" s="40">
        <v>25</v>
      </c>
      <c r="E386" s="40">
        <v>320</v>
      </c>
      <c r="F386" s="45">
        <v>1736</v>
      </c>
      <c r="G386" s="40">
        <v>0</v>
      </c>
      <c r="H386" s="46">
        <f t="shared" ref="H386:H391" si="67">(E386*2*0.001+F386*2*0.001)*G386</f>
        <v>0</v>
      </c>
      <c r="I386" s="40"/>
      <c r="J386" s="40">
        <f>VLOOKUP(D386,BM!$A$2:$X$57,3,FALSE)</f>
        <v>0.25</v>
      </c>
      <c r="K386" s="40"/>
      <c r="L386" s="49">
        <f t="shared" si="65"/>
        <v>0</v>
      </c>
      <c r="M386" s="40">
        <v>1</v>
      </c>
      <c r="N386" s="57">
        <f t="shared" ref="N386:N391" si="68">L386+M386</f>
        <v>1</v>
      </c>
    </row>
    <row r="387" spans="1:14" ht="18.75" customHeight="1">
      <c r="A387" s="40" t="s">
        <v>1117</v>
      </c>
      <c r="B387" s="40" t="s">
        <v>875</v>
      </c>
      <c r="C387" s="40"/>
      <c r="D387" s="40">
        <v>25</v>
      </c>
      <c r="E387" s="40">
        <v>320</v>
      </c>
      <c r="F387" s="45">
        <v>4904</v>
      </c>
      <c r="G387" s="40">
        <v>2</v>
      </c>
      <c r="H387" s="46">
        <f t="shared" si="67"/>
        <v>20.896000000000001</v>
      </c>
      <c r="I387" s="40"/>
      <c r="J387" s="40">
        <f>VLOOKUP(D387,BM!$A$2:$X$57,3,FALSE)</f>
        <v>0.25</v>
      </c>
      <c r="K387" s="40"/>
      <c r="L387" s="49">
        <f t="shared" si="65"/>
        <v>5.2240000000000002</v>
      </c>
      <c r="M387" s="40">
        <v>1</v>
      </c>
      <c r="N387" s="57">
        <f t="shared" si="68"/>
        <v>6.2240000000000002</v>
      </c>
    </row>
    <row r="388" spans="1:14" ht="18.75" customHeight="1">
      <c r="A388" s="40" t="s">
        <v>1118</v>
      </c>
      <c r="B388" s="40" t="s">
        <v>875</v>
      </c>
      <c r="C388" s="40"/>
      <c r="D388" s="40">
        <v>30</v>
      </c>
      <c r="E388" s="40">
        <v>320</v>
      </c>
      <c r="F388" s="45">
        <v>1890</v>
      </c>
      <c r="G388" s="40">
        <v>0</v>
      </c>
      <c r="H388" s="46">
        <f t="shared" si="67"/>
        <v>0</v>
      </c>
      <c r="I388" s="40"/>
      <c r="J388" s="40">
        <f>VLOOKUP(D388,BM!$A$2:$X$57,3,FALSE)</f>
        <v>0.25</v>
      </c>
      <c r="K388" s="40"/>
      <c r="L388" s="49">
        <f t="shared" si="65"/>
        <v>0</v>
      </c>
      <c r="M388" s="40">
        <v>1</v>
      </c>
      <c r="N388" s="57">
        <f t="shared" si="68"/>
        <v>1</v>
      </c>
    </row>
    <row r="389" spans="1:14" ht="18.75" customHeight="1">
      <c r="A389" s="40" t="s">
        <v>1119</v>
      </c>
      <c r="B389" s="40" t="s">
        <v>875</v>
      </c>
      <c r="C389" s="40"/>
      <c r="D389" s="40">
        <v>30</v>
      </c>
      <c r="E389" s="40">
        <v>320</v>
      </c>
      <c r="F389" s="45">
        <v>1890</v>
      </c>
      <c r="G389" s="40">
        <v>4</v>
      </c>
      <c r="H389" s="46">
        <f t="shared" si="67"/>
        <v>17.68</v>
      </c>
      <c r="I389" s="40"/>
      <c r="J389" s="40">
        <f>VLOOKUP(D389,BM!$A$2:$X$57,3,FALSE)</f>
        <v>0.25</v>
      </c>
      <c r="K389" s="40"/>
      <c r="L389" s="49">
        <f t="shared" si="65"/>
        <v>4.42</v>
      </c>
      <c r="M389" s="40">
        <v>1</v>
      </c>
      <c r="N389" s="57">
        <f t="shared" si="68"/>
        <v>5.42</v>
      </c>
    </row>
    <row r="390" spans="1:14" ht="18.75" customHeight="1">
      <c r="A390" s="40" t="s">
        <v>1120</v>
      </c>
      <c r="B390" s="40" t="s">
        <v>875</v>
      </c>
      <c r="C390" s="40"/>
      <c r="D390" s="40">
        <v>25</v>
      </c>
      <c r="E390" s="40">
        <v>2336</v>
      </c>
      <c r="F390" s="45">
        <v>1890</v>
      </c>
      <c r="G390" s="40">
        <v>0</v>
      </c>
      <c r="H390" s="46">
        <f t="shared" si="67"/>
        <v>0</v>
      </c>
      <c r="I390" s="40"/>
      <c r="J390" s="40">
        <f>VLOOKUP(D390,BM!$A$2:$X$57,3,FALSE)</f>
        <v>0.25</v>
      </c>
      <c r="K390" s="40"/>
      <c r="L390" s="49">
        <f t="shared" si="65"/>
        <v>0</v>
      </c>
      <c r="M390" s="40">
        <v>1</v>
      </c>
      <c r="N390" s="57">
        <f t="shared" si="68"/>
        <v>1</v>
      </c>
    </row>
    <row r="391" spans="1:14" ht="18.75" customHeight="1">
      <c r="A391" s="40" t="s">
        <v>1121</v>
      </c>
      <c r="B391" s="40" t="s">
        <v>875</v>
      </c>
      <c r="C391" s="40"/>
      <c r="D391" s="40">
        <v>30</v>
      </c>
      <c r="E391" s="40">
        <v>135</v>
      </c>
      <c r="F391" s="45">
        <v>400</v>
      </c>
      <c r="G391" s="40">
        <v>16</v>
      </c>
      <c r="H391" s="46">
        <f t="shared" si="67"/>
        <v>17.12</v>
      </c>
      <c r="I391" s="40"/>
      <c r="J391" s="40">
        <f>VLOOKUP(D391,BM!$A$2:$X$57,3,FALSE)</f>
        <v>0.25</v>
      </c>
      <c r="K391" s="40"/>
      <c r="L391" s="49">
        <f t="shared" si="65"/>
        <v>4.28</v>
      </c>
      <c r="M391" s="40">
        <v>1</v>
      </c>
      <c r="N391" s="57">
        <f t="shared" si="68"/>
        <v>5.28</v>
      </c>
    </row>
    <row r="392" spans="1:14" ht="18.75" customHeight="1">
      <c r="C392" s="35"/>
      <c r="D392" s="35"/>
      <c r="E392" s="35"/>
      <c r="F392" s="47"/>
      <c r="G392" s="35"/>
      <c r="H392" s="48"/>
      <c r="I392" s="35"/>
      <c r="J392" s="35"/>
      <c r="K392" s="35"/>
      <c r="L392" s="54"/>
      <c r="M392" s="35"/>
      <c r="N392" s="67">
        <f>SUM(N386:N391)</f>
        <v>19.923999999999999</v>
      </c>
    </row>
    <row r="393" spans="1:14" ht="18.75" customHeight="1">
      <c r="A393" s="37" t="s">
        <v>866</v>
      </c>
      <c r="B393" s="38" t="s">
        <v>867</v>
      </c>
      <c r="C393" s="38"/>
      <c r="D393" s="39" t="s">
        <v>2</v>
      </c>
      <c r="E393" s="39" t="s">
        <v>1099</v>
      </c>
      <c r="F393" s="39" t="s">
        <v>1100</v>
      </c>
      <c r="G393" s="39" t="s">
        <v>4</v>
      </c>
      <c r="H393" s="39" t="s">
        <v>870</v>
      </c>
      <c r="I393" s="39" t="s">
        <v>5</v>
      </c>
      <c r="J393" s="39" t="s">
        <v>871</v>
      </c>
      <c r="K393" s="39" t="s">
        <v>5</v>
      </c>
      <c r="L393" s="39" t="s">
        <v>870</v>
      </c>
      <c r="M393" s="39" t="s">
        <v>872</v>
      </c>
      <c r="N393" s="39" t="s">
        <v>873</v>
      </c>
    </row>
    <row r="394" spans="1:14" ht="18.75" customHeight="1">
      <c r="A394" s="40" t="s">
        <v>1116</v>
      </c>
      <c r="B394" s="40" t="s">
        <v>875</v>
      </c>
      <c r="C394" s="40"/>
      <c r="D394" s="40">
        <v>25</v>
      </c>
      <c r="E394" s="40">
        <v>320</v>
      </c>
      <c r="F394" s="45">
        <v>1736</v>
      </c>
      <c r="G394" s="40">
        <v>0</v>
      </c>
      <c r="H394" s="46">
        <f t="shared" ref="H394:H399" si="69">(E394*2*0.001+F394*2*0.001)*G394</f>
        <v>0</v>
      </c>
      <c r="I394" s="40"/>
      <c r="J394" s="40">
        <f>VLOOKUP(D394,BM!$A$2:$X$57,4,FALSE)</f>
        <v>0.15</v>
      </c>
      <c r="K394" s="40"/>
      <c r="L394" s="49">
        <f t="shared" ref="L394:L399" si="70">H394*J394</f>
        <v>0</v>
      </c>
      <c r="M394" s="40">
        <v>1</v>
      </c>
      <c r="N394" s="57">
        <f t="shared" ref="N394:N399" si="71">L394+M394</f>
        <v>1</v>
      </c>
    </row>
    <row r="395" spans="1:14" ht="18.75" customHeight="1">
      <c r="A395" s="40" t="s">
        <v>1117</v>
      </c>
      <c r="B395" s="40" t="s">
        <v>875</v>
      </c>
      <c r="C395" s="40"/>
      <c r="D395" s="40">
        <v>25</v>
      </c>
      <c r="E395" s="40">
        <v>320</v>
      </c>
      <c r="F395" s="45">
        <v>4904</v>
      </c>
      <c r="G395" s="40">
        <v>2</v>
      </c>
      <c r="H395" s="46">
        <f t="shared" si="69"/>
        <v>20.896000000000001</v>
      </c>
      <c r="I395" s="40"/>
      <c r="J395" s="40">
        <f>VLOOKUP(D395,BM!$A$2:$X$57,4,FALSE)</f>
        <v>0.15</v>
      </c>
      <c r="K395" s="40"/>
      <c r="L395" s="49">
        <f t="shared" si="70"/>
        <v>3.1343999999999999</v>
      </c>
      <c r="M395" s="40">
        <v>1</v>
      </c>
      <c r="N395" s="57">
        <f t="shared" si="71"/>
        <v>4.1343999999999994</v>
      </c>
    </row>
    <row r="396" spans="1:14" ht="18.75" customHeight="1">
      <c r="A396" s="40" t="s">
        <v>1118</v>
      </c>
      <c r="B396" s="40" t="s">
        <v>875</v>
      </c>
      <c r="C396" s="40"/>
      <c r="D396" s="40">
        <v>30</v>
      </c>
      <c r="E396" s="40">
        <v>320</v>
      </c>
      <c r="F396" s="45">
        <v>1890</v>
      </c>
      <c r="G396" s="40">
        <v>0</v>
      </c>
      <c r="H396" s="46">
        <f t="shared" si="69"/>
        <v>0</v>
      </c>
      <c r="I396" s="40"/>
      <c r="J396" s="40">
        <f>VLOOKUP(D396,BM!$A$2:$X$57,4,FALSE)</f>
        <v>0.15</v>
      </c>
      <c r="K396" s="40"/>
      <c r="L396" s="49">
        <f t="shared" si="70"/>
        <v>0</v>
      </c>
      <c r="M396" s="40">
        <v>1</v>
      </c>
      <c r="N396" s="57">
        <f t="shared" si="71"/>
        <v>1</v>
      </c>
    </row>
    <row r="397" spans="1:14" ht="18.75" customHeight="1">
      <c r="A397" s="40" t="s">
        <v>1119</v>
      </c>
      <c r="B397" s="40" t="s">
        <v>875</v>
      </c>
      <c r="C397" s="40"/>
      <c r="D397" s="40">
        <v>30</v>
      </c>
      <c r="E397" s="40">
        <v>320</v>
      </c>
      <c r="F397" s="45">
        <v>1890</v>
      </c>
      <c r="G397" s="40">
        <v>4</v>
      </c>
      <c r="H397" s="46">
        <f t="shared" si="69"/>
        <v>17.68</v>
      </c>
      <c r="I397" s="40"/>
      <c r="J397" s="40">
        <f>VLOOKUP(D397,BM!$A$2:$X$57,4,FALSE)</f>
        <v>0.15</v>
      </c>
      <c r="K397" s="40"/>
      <c r="L397" s="49">
        <f t="shared" si="70"/>
        <v>2.6519999999999997</v>
      </c>
      <c r="M397" s="40">
        <v>1</v>
      </c>
      <c r="N397" s="57">
        <f t="shared" si="71"/>
        <v>3.6519999999999997</v>
      </c>
    </row>
    <row r="398" spans="1:14" ht="18.75" customHeight="1">
      <c r="A398" s="40" t="s">
        <v>1120</v>
      </c>
      <c r="B398" s="40" t="s">
        <v>875</v>
      </c>
      <c r="C398" s="40"/>
      <c r="D398" s="40">
        <v>25</v>
      </c>
      <c r="E398" s="40">
        <v>2336</v>
      </c>
      <c r="F398" s="45">
        <v>1890</v>
      </c>
      <c r="G398" s="40">
        <v>0</v>
      </c>
      <c r="H398" s="46">
        <f t="shared" si="69"/>
        <v>0</v>
      </c>
      <c r="I398" s="40"/>
      <c r="J398" s="40">
        <f>VLOOKUP(D398,BM!$A$2:$X$57,4,FALSE)</f>
        <v>0.15</v>
      </c>
      <c r="K398" s="40"/>
      <c r="L398" s="49">
        <f t="shared" si="70"/>
        <v>0</v>
      </c>
      <c r="M398" s="40">
        <v>1</v>
      </c>
      <c r="N398" s="57">
        <f t="shared" si="71"/>
        <v>1</v>
      </c>
    </row>
    <row r="399" spans="1:14" ht="18.75" customHeight="1">
      <c r="A399" s="40" t="s">
        <v>1121</v>
      </c>
      <c r="B399" s="40" t="s">
        <v>875</v>
      </c>
      <c r="C399" s="40"/>
      <c r="D399" s="40">
        <v>30</v>
      </c>
      <c r="E399" s="40">
        <v>135</v>
      </c>
      <c r="F399" s="45">
        <v>400</v>
      </c>
      <c r="G399" s="40">
        <v>16</v>
      </c>
      <c r="H399" s="46">
        <f t="shared" si="69"/>
        <v>17.12</v>
      </c>
      <c r="I399" s="40"/>
      <c r="J399" s="40">
        <f>VLOOKUP(D399,BM!$A$2:$X$57,4,FALSE)</f>
        <v>0.15</v>
      </c>
      <c r="K399" s="40"/>
      <c r="L399" s="49">
        <f t="shared" si="70"/>
        <v>2.5680000000000001</v>
      </c>
      <c r="M399" s="40">
        <v>1</v>
      </c>
      <c r="N399" s="57">
        <f t="shared" si="71"/>
        <v>3.5680000000000001</v>
      </c>
    </row>
    <row r="400" spans="1:14" ht="18.75" customHeight="1">
      <c r="N400" s="72">
        <f>SUM(N394:N399)</f>
        <v>14.354399999999998</v>
      </c>
    </row>
    <row r="401" spans="1:14" ht="18.75" customHeight="1">
      <c r="A401" s="37" t="s">
        <v>866</v>
      </c>
      <c r="B401" s="38" t="s">
        <v>867</v>
      </c>
      <c r="C401" s="38"/>
      <c r="D401" s="39" t="s">
        <v>2</v>
      </c>
      <c r="E401" s="39"/>
      <c r="F401" s="39"/>
      <c r="G401" s="39" t="s">
        <v>4</v>
      </c>
      <c r="H401" s="39" t="s">
        <v>870</v>
      </c>
      <c r="I401" s="39" t="s">
        <v>5</v>
      </c>
      <c r="J401" s="39" t="s">
        <v>871</v>
      </c>
      <c r="K401" s="39" t="s">
        <v>5</v>
      </c>
      <c r="L401" s="39" t="s">
        <v>870</v>
      </c>
      <c r="M401" s="39" t="s">
        <v>872</v>
      </c>
      <c r="N401" s="39" t="s">
        <v>873</v>
      </c>
    </row>
    <row r="402" spans="1:14" ht="18.75" customHeight="1">
      <c r="A402" s="40" t="s">
        <v>1122</v>
      </c>
      <c r="B402" s="40" t="s">
        <v>875</v>
      </c>
      <c r="C402" s="40"/>
      <c r="D402" s="40">
        <v>25</v>
      </c>
      <c r="E402" s="40"/>
      <c r="F402" s="45"/>
      <c r="G402" s="40">
        <v>2</v>
      </c>
      <c r="H402" s="46">
        <v>2</v>
      </c>
      <c r="I402" s="40" t="s">
        <v>81</v>
      </c>
      <c r="J402" s="40">
        <v>12</v>
      </c>
      <c r="K402" s="40"/>
      <c r="L402" s="49">
        <f t="shared" ref="L402:L403" si="72">H402*J402</f>
        <v>24</v>
      </c>
      <c r="M402" s="40">
        <v>1</v>
      </c>
      <c r="N402" s="57">
        <f>L402+M402</f>
        <v>25</v>
      </c>
    </row>
    <row r="403" spans="1:14" ht="18.75" customHeight="1">
      <c r="A403" s="40" t="s">
        <v>1123</v>
      </c>
      <c r="B403" s="40" t="s">
        <v>875</v>
      </c>
      <c r="C403" s="40"/>
      <c r="D403" s="40">
        <v>25</v>
      </c>
      <c r="E403" s="40"/>
      <c r="F403" s="45"/>
      <c r="G403" s="40">
        <v>2</v>
      </c>
      <c r="H403" s="46">
        <f t="shared" ref="H403" si="73">(E403*2*0.001+F403*2*0.001)*G403</f>
        <v>0</v>
      </c>
      <c r="I403" s="40"/>
      <c r="J403" s="40">
        <f>VLOOKUP(D403,BM!$A$2:$X$57,4,FALSE)</f>
        <v>0.15</v>
      </c>
      <c r="K403" s="40"/>
      <c r="L403" s="49">
        <f t="shared" si="72"/>
        <v>0</v>
      </c>
      <c r="M403" s="40">
        <v>1</v>
      </c>
      <c r="N403" s="57">
        <f>L403+M403</f>
        <v>1</v>
      </c>
    </row>
    <row r="404" spans="1:14" ht="18.75" customHeight="1">
      <c r="C404" s="35"/>
      <c r="L404" s="54"/>
      <c r="M404" s="35"/>
      <c r="N404" s="61"/>
    </row>
    <row r="406" spans="1:14" ht="18.75" customHeight="1">
      <c r="A406" s="68" t="s">
        <v>1124</v>
      </c>
      <c r="B406" s="68">
        <v>1536</v>
      </c>
      <c r="C406" s="68"/>
      <c r="D406" s="69"/>
      <c r="E406" s="69"/>
      <c r="F406" s="69"/>
      <c r="G406" s="69"/>
      <c r="H406" s="69"/>
      <c r="I406" s="69"/>
      <c r="J406" s="69"/>
    </row>
    <row r="407" spans="1:14" ht="18.75" customHeight="1">
      <c r="A407" s="68" t="s">
        <v>1125</v>
      </c>
      <c r="B407" s="68">
        <v>25</v>
      </c>
      <c r="C407" s="68"/>
      <c r="D407" s="69"/>
      <c r="E407" s="69"/>
      <c r="F407" s="69"/>
      <c r="G407" s="69"/>
      <c r="H407" s="69"/>
      <c r="I407" s="69"/>
      <c r="J407" s="69"/>
    </row>
    <row r="408" spans="1:14" ht="18.75" customHeight="1">
      <c r="A408" s="68" t="s">
        <v>1126</v>
      </c>
      <c r="B408" s="70">
        <f>B407+B406</f>
        <v>1561</v>
      </c>
      <c r="C408" s="68"/>
      <c r="D408" s="69"/>
      <c r="E408" s="69"/>
      <c r="F408" s="69"/>
      <c r="G408" s="69"/>
      <c r="H408" s="69"/>
      <c r="I408" s="69"/>
      <c r="J408" s="69"/>
    </row>
    <row r="409" spans="1:14" ht="18.75" customHeight="1">
      <c r="A409" s="68" t="s">
        <v>1127</v>
      </c>
      <c r="B409" s="68"/>
      <c r="C409" s="68" t="s">
        <v>1128</v>
      </c>
      <c r="D409" s="68" t="s">
        <v>1129</v>
      </c>
      <c r="E409" s="68" t="s">
        <v>1130</v>
      </c>
      <c r="F409" s="68" t="s">
        <v>1131</v>
      </c>
      <c r="G409" s="73" t="s">
        <v>1132</v>
      </c>
      <c r="H409" s="68" t="s">
        <v>1133</v>
      </c>
      <c r="I409" s="73" t="s">
        <v>1134</v>
      </c>
    </row>
    <row r="410" spans="1:14" ht="18.75" customHeight="1">
      <c r="A410" s="68" t="s">
        <v>1135</v>
      </c>
      <c r="B410" s="68"/>
      <c r="C410" s="68"/>
      <c r="D410" s="68">
        <v>18</v>
      </c>
      <c r="E410" s="68">
        <v>1890</v>
      </c>
      <c r="F410" s="68">
        <v>1</v>
      </c>
      <c r="G410" s="68">
        <v>1890</v>
      </c>
      <c r="H410" s="74">
        <f>VLOOKUP(D410,BM!$A$2:$X$57,22,FALSE)</f>
        <v>3.4</v>
      </c>
      <c r="I410" s="75">
        <f>G410*0.001*H410</f>
        <v>6.4260000000000002</v>
      </c>
    </row>
    <row r="411" spans="1:14" ht="18.75" customHeight="1">
      <c r="A411" s="68" t="s">
        <v>1136</v>
      </c>
      <c r="B411" s="68"/>
      <c r="C411" s="70"/>
      <c r="D411" s="68">
        <v>18</v>
      </c>
      <c r="E411" s="68">
        <v>539</v>
      </c>
      <c r="F411" s="68">
        <v>4</v>
      </c>
      <c r="G411" s="68">
        <f>E411*F411*2</f>
        <v>4312</v>
      </c>
      <c r="H411" s="74">
        <f>VLOOKUP(D411,BM!$A$2:$X$57,22,FALSE)</f>
        <v>3.4</v>
      </c>
      <c r="I411" s="75">
        <f>G411*0.001*H411</f>
        <v>14.6608</v>
      </c>
    </row>
    <row r="412" spans="1:14" ht="18.75" customHeight="1">
      <c r="A412" s="68" t="s">
        <v>1137</v>
      </c>
      <c r="B412" s="68"/>
      <c r="C412" s="70"/>
      <c r="D412" s="68">
        <v>18</v>
      </c>
      <c r="E412" s="68">
        <v>138</v>
      </c>
      <c r="F412" s="68">
        <v>4</v>
      </c>
      <c r="G412" s="68">
        <f>E412*F412*2</f>
        <v>1104</v>
      </c>
      <c r="H412" s="74">
        <f>VLOOKUP(D412,BM!$A$2:$X$57,22,FALSE)</f>
        <v>3.4</v>
      </c>
      <c r="I412" s="75">
        <f>G412*0.001*H412</f>
        <v>3.7536</v>
      </c>
    </row>
    <row r="413" spans="1:14" ht="18.75" customHeight="1">
      <c r="A413" s="34"/>
      <c r="B413" s="34"/>
      <c r="C413" s="34"/>
      <c r="I413" s="76">
        <f>SUM(I410:I412)</f>
        <v>24.840399999999999</v>
      </c>
    </row>
    <row r="414" spans="1:14" ht="18.75" customHeight="1">
      <c r="A414" s="34"/>
      <c r="B414" s="34"/>
      <c r="C414" s="34"/>
      <c r="G414" s="34" t="s">
        <v>1138</v>
      </c>
      <c r="H414" s="34">
        <v>4</v>
      </c>
    </row>
    <row r="415" spans="1:14" ht="18.75" customHeight="1">
      <c r="A415" s="34"/>
      <c r="B415" s="34"/>
      <c r="C415" s="34"/>
      <c r="G415" s="34" t="s">
        <v>1139</v>
      </c>
      <c r="I415" s="76">
        <f>I413*H414</f>
        <v>99.361599999999996</v>
      </c>
      <c r="J415" s="34" t="s">
        <v>48</v>
      </c>
    </row>
    <row r="416" spans="1:14" ht="18.75" customHeight="1">
      <c r="A416" s="34"/>
      <c r="B416" s="34"/>
      <c r="C416" s="34"/>
    </row>
    <row r="417" spans="1:10" ht="18.75" customHeight="1">
      <c r="A417" s="68" t="s">
        <v>1124</v>
      </c>
      <c r="B417" s="68">
        <v>1536</v>
      </c>
      <c r="C417" s="68"/>
      <c r="D417" s="69"/>
      <c r="E417" s="69"/>
      <c r="F417" s="69"/>
      <c r="G417" s="69"/>
      <c r="H417" s="69"/>
      <c r="I417" s="69"/>
      <c r="J417" s="69"/>
    </row>
    <row r="418" spans="1:10" ht="18.75" customHeight="1">
      <c r="A418" s="68" t="s">
        <v>1125</v>
      </c>
      <c r="B418" s="68">
        <v>25</v>
      </c>
      <c r="C418" s="68"/>
      <c r="D418" s="69"/>
      <c r="E418" s="69"/>
      <c r="F418" s="69"/>
      <c r="G418" s="69"/>
      <c r="H418" s="69"/>
      <c r="I418" s="69"/>
      <c r="J418" s="69"/>
    </row>
    <row r="419" spans="1:10" ht="18.75" customHeight="1">
      <c r="A419" s="68" t="s">
        <v>1126</v>
      </c>
      <c r="B419" s="70">
        <f>B418+B417</f>
        <v>1561</v>
      </c>
      <c r="C419" s="68"/>
      <c r="D419" s="69"/>
      <c r="E419" s="69"/>
      <c r="F419" s="69"/>
      <c r="G419" s="69"/>
      <c r="H419" s="69"/>
      <c r="I419" s="69"/>
      <c r="J419" s="69"/>
    </row>
    <row r="420" spans="1:10" ht="18.75" customHeight="1">
      <c r="A420" s="70" t="s">
        <v>1140</v>
      </c>
      <c r="B420" s="68"/>
      <c r="C420" s="68" t="s">
        <v>1128</v>
      </c>
      <c r="D420" s="68" t="s">
        <v>1129</v>
      </c>
      <c r="E420" s="68" t="s">
        <v>1130</v>
      </c>
      <c r="F420" s="68" t="s">
        <v>1131</v>
      </c>
      <c r="G420" s="73" t="s">
        <v>1132</v>
      </c>
      <c r="H420" s="68" t="s">
        <v>1133</v>
      </c>
      <c r="I420" s="73" t="s">
        <v>1134</v>
      </c>
    </row>
    <row r="421" spans="1:10" ht="18.75" customHeight="1">
      <c r="A421" s="68" t="s">
        <v>1141</v>
      </c>
      <c r="B421" s="68"/>
      <c r="C421" s="68"/>
      <c r="D421" s="68">
        <v>18</v>
      </c>
      <c r="E421" s="68">
        <v>1890</v>
      </c>
      <c r="F421" s="68">
        <v>2</v>
      </c>
      <c r="G421" s="68">
        <v>1890</v>
      </c>
      <c r="H421" s="74">
        <f>VLOOKUP(D421,BM!$A$2:$X$57,22,FALSE)</f>
        <v>3.4</v>
      </c>
      <c r="I421" s="75">
        <f>G421*0.001*H421</f>
        <v>6.4260000000000002</v>
      </c>
    </row>
    <row r="422" spans="1:10" ht="18.75" customHeight="1">
      <c r="A422" s="68" t="s">
        <v>1142</v>
      </c>
      <c r="B422" s="68"/>
      <c r="C422" s="68"/>
      <c r="D422" s="68">
        <v>18</v>
      </c>
      <c r="E422" s="68">
        <v>2336</v>
      </c>
      <c r="F422" s="68">
        <v>2</v>
      </c>
      <c r="G422" s="68">
        <f>E422*F422*2</f>
        <v>9344</v>
      </c>
      <c r="H422" s="68">
        <f>VLOOKUP(D422,BM!$A$2:$X$57,22,FALSE)</f>
        <v>3.4</v>
      </c>
      <c r="I422" s="77">
        <f>G422*0.001*H422</f>
        <v>31.769599999999997</v>
      </c>
    </row>
    <row r="423" spans="1:10" ht="18.75" customHeight="1">
      <c r="A423" s="68" t="s">
        <v>1143</v>
      </c>
      <c r="B423" s="68"/>
      <c r="C423" s="68"/>
      <c r="D423" s="68">
        <v>18</v>
      </c>
      <c r="E423" s="68">
        <v>320</v>
      </c>
      <c r="F423" s="68">
        <v>1</v>
      </c>
      <c r="G423" s="68">
        <f>E423*F423*2</f>
        <v>640</v>
      </c>
      <c r="H423" s="68">
        <f>VLOOKUP(D423,BM!$A$2:$X$57,22,FALSE)</f>
        <v>3.4</v>
      </c>
      <c r="I423" s="77">
        <f>G423*0.001*H423</f>
        <v>2.1760000000000002</v>
      </c>
    </row>
    <row r="424" spans="1:10" ht="18.75" customHeight="1">
      <c r="A424" s="68" t="s">
        <v>1144</v>
      </c>
      <c r="B424" s="68"/>
      <c r="C424" s="68"/>
      <c r="D424" s="68">
        <v>18</v>
      </c>
      <c r="E424" s="68">
        <f>E422-B419</f>
        <v>775</v>
      </c>
      <c r="F424" s="68">
        <v>4</v>
      </c>
      <c r="G424" s="68">
        <f>E424*F424*2</f>
        <v>6200</v>
      </c>
      <c r="H424" s="68">
        <f>VLOOKUP(D424,BM!$A$2:$X$57,22,FALSE)</f>
        <v>3.4</v>
      </c>
      <c r="I424" s="77">
        <f>SUM(I421:I422)</f>
        <v>38.195599999999999</v>
      </c>
    </row>
    <row r="425" spans="1:10" ht="18.75" customHeight="1">
      <c r="A425" s="68" t="s">
        <v>1145</v>
      </c>
      <c r="B425" s="68"/>
      <c r="C425" s="68"/>
      <c r="D425" s="68">
        <v>18</v>
      </c>
      <c r="E425" s="68">
        <v>160</v>
      </c>
      <c r="F425" s="68">
        <v>4</v>
      </c>
      <c r="G425" s="68">
        <f>E425*F425*2*2</f>
        <v>2560</v>
      </c>
      <c r="H425" s="68">
        <f>VLOOKUP(D425,BM!$A$2:$X$57,22,FALSE)</f>
        <v>3.4</v>
      </c>
      <c r="I425" s="77">
        <f>SUM(I422:I423)</f>
        <v>33.945599999999999</v>
      </c>
    </row>
    <row r="426" spans="1:10" ht="18.75" customHeight="1">
      <c r="A426" s="71"/>
      <c r="B426" s="71"/>
      <c r="C426" s="71"/>
      <c r="D426" s="71"/>
      <c r="E426" s="71"/>
      <c r="F426" s="71"/>
      <c r="G426" s="71"/>
      <c r="H426" s="71"/>
      <c r="I426" s="78">
        <f>SUM(I421:I425)</f>
        <v>112.5128</v>
      </c>
    </row>
    <row r="427" spans="1:10" ht="18.75" customHeight="1">
      <c r="A427" s="34"/>
      <c r="B427" s="34"/>
      <c r="C427" s="34"/>
      <c r="G427" s="34" t="s">
        <v>1138</v>
      </c>
      <c r="H427" s="34">
        <v>4</v>
      </c>
      <c r="I427" s="79">
        <f>I426*H427</f>
        <v>450.05119999999999</v>
      </c>
    </row>
    <row r="428" spans="1:10" ht="18.75" customHeight="1">
      <c r="J428" s="47"/>
    </row>
  </sheetData>
  <pageMargins left="0.30902777777777801" right="0.21875" top="0.75" bottom="0.75" header="0.3" footer="0.3"/>
  <pageSetup paperSize="9" scale="85" orientation="landscape"/>
  <headerFooter>
    <oddFooter>&amp;L&amp;F&amp;C&amp;P/&amp;N&amp;R&amp;D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8"/>
  <sheetViews>
    <sheetView showGridLines="0" workbookViewId="0">
      <selection activeCell="F1" sqref="F1:P2"/>
    </sheetView>
  </sheetViews>
  <sheetFormatPr defaultColWidth="9.1328125" defaultRowHeight="18.75" customHeight="1"/>
  <cols>
    <col min="1" max="1" width="9.1328125" style="34"/>
    <col min="2" max="2" width="5.86328125" style="34" customWidth="1"/>
    <col min="3" max="3" width="32.59765625" style="35" customWidth="1"/>
    <col min="4" max="4" width="5.73046875" style="35" customWidth="1"/>
    <col min="5" max="5" width="5.86328125" style="36" customWidth="1"/>
    <col min="6" max="6" width="8.1328125" style="34" customWidth="1"/>
    <col min="7" max="7" width="9.59765625" style="34" customWidth="1"/>
    <col min="8" max="8" width="10.265625" style="34" customWidth="1"/>
    <col min="9" max="9" width="15.3984375" style="34" customWidth="1"/>
    <col min="10" max="10" width="9.3984375" style="34" customWidth="1"/>
    <col min="11" max="11" width="15.1328125" style="34" customWidth="1"/>
    <col min="12" max="12" width="16.73046875" style="34" customWidth="1"/>
    <col min="13" max="13" width="8.73046875" style="34" customWidth="1"/>
    <col min="14" max="14" width="6.59765625" style="34" customWidth="1"/>
    <col min="15" max="15" width="12.86328125" style="34" customWidth="1"/>
    <col min="16" max="16" width="10.265625" style="34" customWidth="1"/>
    <col min="17" max="16384" width="9.1328125" style="34"/>
  </cols>
  <sheetData>
    <row r="1" spans="3:16" s="33" customFormat="1" ht="21" customHeight="1">
      <c r="C1" s="37" t="s">
        <v>866</v>
      </c>
      <c r="D1" s="38" t="s">
        <v>867</v>
      </c>
      <c r="E1" s="38"/>
      <c r="F1" s="39" t="s">
        <v>2</v>
      </c>
      <c r="G1" s="39" t="s">
        <v>868</v>
      </c>
      <c r="H1" s="39" t="s">
        <v>869</v>
      </c>
      <c r="I1" s="39" t="s">
        <v>4</v>
      </c>
      <c r="J1" s="39" t="s">
        <v>870</v>
      </c>
      <c r="K1" s="39" t="s">
        <v>5</v>
      </c>
      <c r="L1" s="39" t="s">
        <v>871</v>
      </c>
      <c r="M1" s="39"/>
      <c r="N1" s="39" t="s">
        <v>870</v>
      </c>
      <c r="O1" s="39" t="s">
        <v>872</v>
      </c>
      <c r="P1" s="39" t="s">
        <v>873</v>
      </c>
    </row>
    <row r="2" spans="3:16" ht="18.75" customHeight="1">
      <c r="C2" s="40" t="s">
        <v>874</v>
      </c>
      <c r="D2" s="40" t="s">
        <v>875</v>
      </c>
      <c r="E2" s="41"/>
      <c r="F2" s="42">
        <v>18</v>
      </c>
      <c r="G2" s="42">
        <v>2500</v>
      </c>
      <c r="H2" s="42">
        <v>5000</v>
      </c>
      <c r="I2" s="42">
        <v>2</v>
      </c>
      <c r="J2" s="45">
        <f>(G2*2*0.001+H2*2*0.001)*I2</f>
        <v>30</v>
      </c>
      <c r="K2" s="45" t="s">
        <v>876</v>
      </c>
      <c r="L2" s="46">
        <f>VLOOKUP(F2,BM!$A$2:$X$57,2,FALSE)</f>
        <v>0.1</v>
      </c>
      <c r="M2" s="46"/>
      <c r="N2" s="46">
        <f>J2*L2</f>
        <v>3</v>
      </c>
      <c r="O2" s="46">
        <v>1</v>
      </c>
      <c r="P2" s="46">
        <f>N2+O2</f>
        <v>4</v>
      </c>
    </row>
    <row r="3" spans="3:16" ht="18.75" customHeight="1">
      <c r="C3" s="40" t="s">
        <v>874</v>
      </c>
      <c r="D3" s="40" t="s">
        <v>875</v>
      </c>
      <c r="E3" s="41"/>
      <c r="F3" s="42">
        <v>18</v>
      </c>
      <c r="G3" s="42">
        <v>2000</v>
      </c>
      <c r="H3" s="42">
        <v>5000</v>
      </c>
      <c r="I3" s="42">
        <v>1</v>
      </c>
      <c r="J3" s="45">
        <f>(G3*2*0.001+H3*2*0.001)*I3</f>
        <v>14</v>
      </c>
      <c r="K3" s="45" t="s">
        <v>876</v>
      </c>
      <c r="L3" s="46">
        <f>VLOOKUP(F3,BM!$A$2:$X$57,2,FALSE)</f>
        <v>0.1</v>
      </c>
      <c r="M3" s="46"/>
      <c r="N3" s="46">
        <f>J3*L3</f>
        <v>1.4000000000000001</v>
      </c>
      <c r="O3" s="46">
        <v>1</v>
      </c>
      <c r="P3" s="46">
        <f>N3+O3</f>
        <v>2.4000000000000004</v>
      </c>
    </row>
    <row r="4" spans="3:16" ht="18.75" customHeight="1">
      <c r="C4" s="40" t="s">
        <v>874</v>
      </c>
      <c r="D4" s="40" t="s">
        <v>875</v>
      </c>
      <c r="E4" s="41"/>
      <c r="F4" s="42">
        <v>18</v>
      </c>
      <c r="G4" s="42">
        <v>1250</v>
      </c>
      <c r="H4" s="42">
        <v>5000</v>
      </c>
      <c r="I4" s="42">
        <v>1</v>
      </c>
      <c r="J4" s="45">
        <f>(G4*2*0.001+H4*2*0.001)*I4</f>
        <v>12.5</v>
      </c>
      <c r="K4" s="45" t="s">
        <v>876</v>
      </c>
      <c r="L4" s="46">
        <f>VLOOKUP(F4,BM!$A$2:$X$57,2,FALSE)</f>
        <v>0.1</v>
      </c>
      <c r="M4" s="46"/>
      <c r="N4" s="46">
        <f>J4*L4</f>
        <v>1.25</v>
      </c>
      <c r="O4" s="46">
        <v>1</v>
      </c>
      <c r="P4" s="46">
        <f>N4+O4</f>
        <v>2.25</v>
      </c>
    </row>
    <row r="5" spans="3:16" ht="18.75" customHeight="1">
      <c r="C5" s="35" t="s">
        <v>877</v>
      </c>
      <c r="D5" s="34"/>
      <c r="E5" s="43"/>
    </row>
    <row r="6" spans="3:16" ht="18.75" customHeight="1">
      <c r="C6" s="40" t="s">
        <v>878</v>
      </c>
      <c r="D6" s="40" t="s">
        <v>875</v>
      </c>
      <c r="E6" s="41"/>
      <c r="F6" s="42">
        <v>18</v>
      </c>
      <c r="G6" s="42">
        <v>2500</v>
      </c>
      <c r="H6" s="42">
        <v>5000</v>
      </c>
      <c r="I6" s="42">
        <v>2</v>
      </c>
      <c r="J6" s="45">
        <f>(G6*2*0.001+H6*2*0.001)*I6</f>
        <v>30</v>
      </c>
      <c r="K6" s="45" t="s">
        <v>876</v>
      </c>
      <c r="L6" s="46">
        <f>VLOOKUP(F6,BM!$A$2:$X$57,3,FALSE)</f>
        <v>0.25</v>
      </c>
      <c r="M6" s="46"/>
      <c r="N6" s="46">
        <f>J6*L6</f>
        <v>7.5</v>
      </c>
      <c r="O6" s="46">
        <v>1</v>
      </c>
      <c r="P6" s="46">
        <f>N6+O6</f>
        <v>8.5</v>
      </c>
    </row>
    <row r="7" spans="3:16" ht="18.75" customHeight="1">
      <c r="C7" s="40" t="s">
        <v>878</v>
      </c>
      <c r="D7" s="40" t="s">
        <v>875</v>
      </c>
      <c r="E7" s="41"/>
      <c r="F7" s="42">
        <v>18</v>
      </c>
      <c r="G7" s="42">
        <v>2000</v>
      </c>
      <c r="H7" s="42">
        <v>5000</v>
      </c>
      <c r="I7" s="42">
        <v>1</v>
      </c>
      <c r="J7" s="45">
        <f>(G7*2*0.001+H7*2*0.001)*I7</f>
        <v>14</v>
      </c>
      <c r="K7" s="45" t="s">
        <v>876</v>
      </c>
      <c r="L7" s="46">
        <f>VLOOKUP(F7,BM!$A$2:$X$57,3,FALSE)</f>
        <v>0.25</v>
      </c>
      <c r="M7" s="46"/>
      <c r="N7" s="46">
        <f>J7*L7</f>
        <v>3.5</v>
      </c>
      <c r="O7" s="46">
        <v>1</v>
      </c>
      <c r="P7" s="46">
        <f>N7+O7</f>
        <v>4.5</v>
      </c>
    </row>
    <row r="8" spans="3:16" ht="18.75" customHeight="1">
      <c r="C8" s="40" t="s">
        <v>878</v>
      </c>
      <c r="D8" s="40" t="s">
        <v>875</v>
      </c>
      <c r="E8" s="41"/>
      <c r="F8" s="42">
        <v>18</v>
      </c>
      <c r="G8" s="42">
        <v>1250</v>
      </c>
      <c r="H8" s="42">
        <v>5000</v>
      </c>
      <c r="I8" s="42">
        <v>1</v>
      </c>
      <c r="J8" s="45">
        <f>(G8*2*0.001+H8*2*0.001)*I8</f>
        <v>12.5</v>
      </c>
      <c r="K8" s="45" t="s">
        <v>876</v>
      </c>
      <c r="L8" s="46">
        <f>VLOOKUP(F8,BM!$A$2:$X$57,3,FALSE)</f>
        <v>0.25</v>
      </c>
      <c r="M8" s="46"/>
      <c r="N8" s="46">
        <f>J8*L8</f>
        <v>3.125</v>
      </c>
      <c r="O8" s="46">
        <v>1</v>
      </c>
      <c r="P8" s="46">
        <f>N8+O8</f>
        <v>4.125</v>
      </c>
    </row>
    <row r="9" spans="3:16" ht="18.75" customHeight="1">
      <c r="J9" s="47"/>
      <c r="K9" s="47"/>
      <c r="L9" s="48"/>
      <c r="M9" s="48"/>
      <c r="N9" s="48"/>
      <c r="O9" s="48"/>
      <c r="P9" s="48"/>
    </row>
    <row r="10" spans="3:16" ht="18.75" customHeight="1">
      <c r="C10" s="40" t="s">
        <v>879</v>
      </c>
      <c r="D10" s="40" t="s">
        <v>875</v>
      </c>
      <c r="E10" s="41"/>
      <c r="F10" s="42">
        <v>18</v>
      </c>
      <c r="G10" s="42">
        <v>2500</v>
      </c>
      <c r="H10" s="42">
        <v>5000</v>
      </c>
      <c r="I10" s="42">
        <v>2</v>
      </c>
      <c r="J10" s="45">
        <f>(G10*2*0.001+H10*2*0.001)*I10</f>
        <v>30</v>
      </c>
      <c r="K10" s="45" t="s">
        <v>876</v>
      </c>
      <c r="L10" s="46">
        <f>VLOOKUP(F10,BM!$A$2:$X$57,4,FALSE)</f>
        <v>0.15</v>
      </c>
      <c r="M10" s="46"/>
      <c r="N10" s="46">
        <f>J10*L10</f>
        <v>4.5</v>
      </c>
      <c r="O10" s="46">
        <v>1</v>
      </c>
      <c r="P10" s="46">
        <f>N10+O10</f>
        <v>5.5</v>
      </c>
    </row>
    <row r="11" spans="3:16" ht="18.75" customHeight="1">
      <c r="C11" s="40" t="s">
        <v>879</v>
      </c>
      <c r="D11" s="40" t="s">
        <v>875</v>
      </c>
      <c r="E11" s="41"/>
      <c r="F11" s="42">
        <v>18</v>
      </c>
      <c r="G11" s="42">
        <v>2000</v>
      </c>
      <c r="H11" s="42">
        <v>5000</v>
      </c>
      <c r="I11" s="42">
        <v>1</v>
      </c>
      <c r="J11" s="45">
        <f>(G11*2*0.001+H11*2*0.001)*I11</f>
        <v>14</v>
      </c>
      <c r="K11" s="45" t="s">
        <v>876</v>
      </c>
      <c r="L11" s="46">
        <f>VLOOKUP(F11,BM!$A$2:$X$57,4,FALSE)</f>
        <v>0.15</v>
      </c>
      <c r="M11" s="46"/>
      <c r="N11" s="46">
        <f>J11*L11</f>
        <v>2.1</v>
      </c>
      <c r="O11" s="46">
        <v>1</v>
      </c>
      <c r="P11" s="46">
        <f>N11+O11</f>
        <v>3.1</v>
      </c>
    </row>
    <row r="12" spans="3:16" ht="18.75" customHeight="1">
      <c r="C12" s="40" t="s">
        <v>879</v>
      </c>
      <c r="D12" s="40" t="s">
        <v>875</v>
      </c>
      <c r="E12" s="41"/>
      <c r="F12" s="42">
        <v>18</v>
      </c>
      <c r="G12" s="42">
        <v>1250</v>
      </c>
      <c r="H12" s="42">
        <v>5000</v>
      </c>
      <c r="I12" s="42">
        <v>1</v>
      </c>
      <c r="J12" s="45">
        <f>(G12*2*0.001+H12*2*0.001)*I12</f>
        <v>12.5</v>
      </c>
      <c r="K12" s="45" t="s">
        <v>876</v>
      </c>
      <c r="L12" s="46">
        <f>VLOOKUP(F12,BM!$A$2:$X$57,4,FALSE)</f>
        <v>0.15</v>
      </c>
      <c r="M12" s="46"/>
      <c r="N12" s="46">
        <f>J12*L12</f>
        <v>1.875</v>
      </c>
      <c r="O12" s="46">
        <v>1</v>
      </c>
      <c r="P12" s="46">
        <f>N12+O12</f>
        <v>2.875</v>
      </c>
    </row>
    <row r="13" spans="3:16" ht="18.75" customHeight="1">
      <c r="J13" s="47"/>
      <c r="K13" s="47"/>
      <c r="L13" s="48"/>
      <c r="M13" s="48"/>
      <c r="N13" s="48"/>
      <c r="O13" s="48"/>
      <c r="P13" s="48"/>
    </row>
    <row r="14" spans="3:16" ht="18.75" customHeight="1">
      <c r="C14" s="40" t="s">
        <v>880</v>
      </c>
      <c r="D14" s="40" t="s">
        <v>875</v>
      </c>
      <c r="E14" s="41"/>
      <c r="F14" s="42">
        <v>18</v>
      </c>
      <c r="G14" s="42">
        <v>2500</v>
      </c>
      <c r="H14" s="42">
        <v>5000</v>
      </c>
      <c r="I14" s="42">
        <v>2</v>
      </c>
      <c r="J14" s="45">
        <f>(H14*2*0.001)*I14</f>
        <v>20</v>
      </c>
      <c r="K14" s="45" t="s">
        <v>876</v>
      </c>
      <c r="L14" s="46">
        <f>VLOOKUP(F14,BM!$A$2:$X$57,5,FALSE)</f>
        <v>0.5</v>
      </c>
      <c r="M14" s="46"/>
      <c r="N14" s="46">
        <f>J14*L14</f>
        <v>10</v>
      </c>
      <c r="O14" s="46">
        <v>1</v>
      </c>
      <c r="P14" s="46">
        <f>N14+O14</f>
        <v>11</v>
      </c>
    </row>
    <row r="15" spans="3:16" ht="18.75" customHeight="1">
      <c r="C15" s="40" t="s">
        <v>880</v>
      </c>
      <c r="D15" s="40" t="s">
        <v>875</v>
      </c>
      <c r="E15" s="41"/>
      <c r="F15" s="42">
        <v>18</v>
      </c>
      <c r="G15" s="42">
        <v>2000</v>
      </c>
      <c r="H15" s="42">
        <v>5000</v>
      </c>
      <c r="I15" s="42">
        <v>1</v>
      </c>
      <c r="J15" s="45">
        <f>(H15*2*0.001)*I15</f>
        <v>10</v>
      </c>
      <c r="K15" s="45" t="s">
        <v>876</v>
      </c>
      <c r="L15" s="46">
        <f>VLOOKUP(F15,BM!$A$2:$X$57,5,FALSE)</f>
        <v>0.5</v>
      </c>
      <c r="M15" s="46"/>
      <c r="N15" s="46">
        <f>J15*L15</f>
        <v>5</v>
      </c>
      <c r="O15" s="46">
        <v>1</v>
      </c>
      <c r="P15" s="46">
        <f>N15+O15</f>
        <v>6</v>
      </c>
    </row>
    <row r="16" spans="3:16" ht="18.75" customHeight="1">
      <c r="C16" s="40" t="s">
        <v>880</v>
      </c>
      <c r="D16" s="40" t="s">
        <v>875</v>
      </c>
      <c r="E16" s="41"/>
      <c r="F16" s="42">
        <v>18</v>
      </c>
      <c r="G16" s="42">
        <v>1000</v>
      </c>
      <c r="H16" s="42">
        <v>5000</v>
      </c>
      <c r="I16" s="42">
        <v>1</v>
      </c>
      <c r="J16" s="45">
        <f>(H16*2*0.001)*I16</f>
        <v>10</v>
      </c>
      <c r="K16" s="45" t="s">
        <v>876</v>
      </c>
      <c r="L16" s="46">
        <f>VLOOKUP(F16,BM!$A$2:$X$57,5,FALSE)</f>
        <v>0.5</v>
      </c>
      <c r="M16" s="46"/>
      <c r="N16" s="46">
        <f>J16*L16</f>
        <v>5</v>
      </c>
      <c r="O16" s="46">
        <v>1</v>
      </c>
      <c r="P16" s="46">
        <f>N16+O16</f>
        <v>6</v>
      </c>
    </row>
    <row r="17" spans="3:16" ht="18.75" customHeight="1">
      <c r="J17" s="47"/>
      <c r="K17" s="47"/>
      <c r="L17" s="48"/>
      <c r="M17" s="48"/>
      <c r="N17" s="48"/>
      <c r="O17" s="48"/>
      <c r="P17" s="48"/>
    </row>
    <row r="18" spans="3:16" ht="18.75" customHeight="1">
      <c r="C18" s="40" t="s">
        <v>881</v>
      </c>
      <c r="D18" s="40" t="s">
        <v>875</v>
      </c>
      <c r="E18" s="41"/>
      <c r="F18" s="42">
        <v>18</v>
      </c>
      <c r="G18" s="42">
        <v>2500</v>
      </c>
      <c r="H18" s="42">
        <v>5000</v>
      </c>
      <c r="I18" s="42">
        <v>2</v>
      </c>
      <c r="J18" s="45">
        <f>(H18*2*0.001)*I18</f>
        <v>20</v>
      </c>
      <c r="K18" s="45" t="s">
        <v>876</v>
      </c>
      <c r="L18" s="46">
        <f>VLOOKUP(F18,BM!$A$2:$X$57,6,FALSE)</f>
        <v>1</v>
      </c>
      <c r="M18" s="46"/>
      <c r="N18" s="46">
        <f>J18*L18</f>
        <v>20</v>
      </c>
      <c r="O18" s="46">
        <v>1</v>
      </c>
      <c r="P18" s="46">
        <f>N18+O18</f>
        <v>21</v>
      </c>
    </row>
    <row r="19" spans="3:16" ht="18.75" customHeight="1">
      <c r="C19" s="40" t="s">
        <v>881</v>
      </c>
      <c r="D19" s="40" t="s">
        <v>875</v>
      </c>
      <c r="E19" s="41"/>
      <c r="F19" s="42">
        <v>18</v>
      </c>
      <c r="G19" s="42">
        <v>2000</v>
      </c>
      <c r="H19" s="42">
        <v>5000</v>
      </c>
      <c r="I19" s="42">
        <v>1</v>
      </c>
      <c r="J19" s="45">
        <f>(H19*2*0.001)*I19</f>
        <v>10</v>
      </c>
      <c r="K19" s="45" t="s">
        <v>876</v>
      </c>
      <c r="L19" s="46">
        <f>VLOOKUP(F19,BM!$A$2:$X$57,6,FALSE)</f>
        <v>1</v>
      </c>
      <c r="M19" s="46"/>
      <c r="N19" s="46">
        <f>J19*L19</f>
        <v>10</v>
      </c>
      <c r="O19" s="46">
        <v>1</v>
      </c>
      <c r="P19" s="46">
        <f>N19+O19</f>
        <v>11</v>
      </c>
    </row>
    <row r="20" spans="3:16" ht="18.75" customHeight="1">
      <c r="C20" s="40" t="s">
        <v>881</v>
      </c>
      <c r="D20" s="40" t="s">
        <v>875</v>
      </c>
      <c r="E20" s="41"/>
      <c r="F20" s="42">
        <v>18</v>
      </c>
      <c r="G20" s="42">
        <v>1250</v>
      </c>
      <c r="H20" s="42">
        <v>5000</v>
      </c>
      <c r="I20" s="42">
        <v>1</v>
      </c>
      <c r="J20" s="45">
        <f>(H20*2*0.001)*I20</f>
        <v>10</v>
      </c>
      <c r="K20" s="45" t="s">
        <v>876</v>
      </c>
      <c r="L20" s="46">
        <f>VLOOKUP(F20,BM!$A$2:$X$57,6,FALSE)</f>
        <v>1</v>
      </c>
      <c r="M20" s="46"/>
      <c r="N20" s="46">
        <f>J20*L20</f>
        <v>10</v>
      </c>
      <c r="O20" s="46">
        <v>1</v>
      </c>
      <c r="P20" s="46">
        <f>N20+O20</f>
        <v>11</v>
      </c>
    </row>
    <row r="21" spans="3:16" ht="18.75" customHeight="1">
      <c r="J21" s="47"/>
      <c r="K21" s="47"/>
      <c r="L21" s="48"/>
      <c r="M21" s="48"/>
      <c r="N21" s="48"/>
      <c r="O21" s="48"/>
      <c r="P21" s="48"/>
    </row>
    <row r="22" spans="3:16" ht="18.75" customHeight="1">
      <c r="C22" s="40" t="s">
        <v>882</v>
      </c>
      <c r="D22" s="40" t="s">
        <v>875</v>
      </c>
      <c r="E22" s="41"/>
      <c r="F22" s="42">
        <v>18</v>
      </c>
      <c r="G22" s="42">
        <v>2500</v>
      </c>
      <c r="H22" s="42">
        <v>5000</v>
      </c>
      <c r="I22" s="42">
        <v>1</v>
      </c>
      <c r="J22" s="45">
        <v>1</v>
      </c>
      <c r="K22" s="45" t="s">
        <v>39</v>
      </c>
      <c r="L22" s="46">
        <f>VLOOKUP(F22,BM!$A$2:$X$57,7,FALSE)</f>
        <v>2</v>
      </c>
      <c r="M22" s="46"/>
      <c r="N22" s="46">
        <f>J22*L22</f>
        <v>2</v>
      </c>
      <c r="O22" s="46">
        <v>1</v>
      </c>
      <c r="P22" s="46">
        <f>N22+O22</f>
        <v>3</v>
      </c>
    </row>
    <row r="23" spans="3:16" ht="18.75" customHeight="1">
      <c r="C23" s="40" t="s">
        <v>882</v>
      </c>
      <c r="D23" s="40" t="s">
        <v>875</v>
      </c>
      <c r="E23" s="41"/>
      <c r="F23" s="42">
        <v>18</v>
      </c>
      <c r="G23" s="42">
        <v>2500</v>
      </c>
      <c r="H23" s="42">
        <v>5000</v>
      </c>
      <c r="I23" s="42">
        <v>1</v>
      </c>
      <c r="J23" s="45">
        <v>1</v>
      </c>
      <c r="K23" s="45" t="s">
        <v>39</v>
      </c>
      <c r="L23" s="46">
        <f>VLOOKUP(F23,BM!$A$2:$X$57,7,FALSE)</f>
        <v>2</v>
      </c>
      <c r="M23" s="46"/>
      <c r="N23" s="46">
        <f>J23*L23</f>
        <v>2</v>
      </c>
      <c r="O23" s="46">
        <v>1</v>
      </c>
      <c r="P23" s="46">
        <f>N23+O23</f>
        <v>3</v>
      </c>
    </row>
    <row r="24" spans="3:16" ht="18.75" customHeight="1">
      <c r="C24" s="40" t="s">
        <v>882</v>
      </c>
      <c r="D24" s="40" t="s">
        <v>875</v>
      </c>
      <c r="E24" s="41"/>
      <c r="F24" s="42">
        <v>18</v>
      </c>
      <c r="G24" s="42">
        <v>2000</v>
      </c>
      <c r="H24" s="42">
        <v>5000</v>
      </c>
      <c r="I24" s="42">
        <v>1</v>
      </c>
      <c r="J24" s="45">
        <v>1</v>
      </c>
      <c r="K24" s="45" t="s">
        <v>564</v>
      </c>
      <c r="L24" s="46">
        <f>VLOOKUP(F24,BM!$A$2:$X$57,7,FALSE)</f>
        <v>2</v>
      </c>
      <c r="M24" s="46"/>
      <c r="N24" s="46">
        <f>J24*L24</f>
        <v>2</v>
      </c>
      <c r="O24" s="46">
        <v>1</v>
      </c>
      <c r="P24" s="46">
        <f>N24+O24</f>
        <v>3</v>
      </c>
    </row>
    <row r="25" spans="3:16" ht="18.75" customHeight="1">
      <c r="C25" s="40" t="s">
        <v>882</v>
      </c>
      <c r="D25" s="40" t="s">
        <v>875</v>
      </c>
      <c r="E25" s="41"/>
      <c r="F25" s="42">
        <v>18</v>
      </c>
      <c r="G25" s="42">
        <v>1250</v>
      </c>
      <c r="H25" s="42">
        <v>5000</v>
      </c>
      <c r="I25" s="42">
        <v>1</v>
      </c>
      <c r="J25" s="45">
        <v>1</v>
      </c>
      <c r="K25" s="45" t="s">
        <v>564</v>
      </c>
      <c r="L25" s="46">
        <f>VLOOKUP(F25,BM!$A$2:$X$57,7,FALSE)</f>
        <v>2</v>
      </c>
      <c r="M25" s="46"/>
      <c r="N25" s="46">
        <f>J25*L25</f>
        <v>2</v>
      </c>
      <c r="O25" s="46">
        <v>1</v>
      </c>
      <c r="P25" s="46">
        <f>N25+O25</f>
        <v>3</v>
      </c>
    </row>
    <row r="26" spans="3:16" ht="18.75" customHeight="1">
      <c r="J26" s="47"/>
      <c r="K26" s="47"/>
      <c r="L26" s="48"/>
      <c r="M26" s="48"/>
      <c r="N26" s="48"/>
      <c r="O26" s="48"/>
      <c r="P26" s="48"/>
    </row>
    <row r="27" spans="3:16" ht="18.75" customHeight="1">
      <c r="C27" s="40" t="s">
        <v>883</v>
      </c>
      <c r="D27" s="40" t="s">
        <v>875</v>
      </c>
      <c r="E27" s="41"/>
      <c r="F27" s="42">
        <v>18</v>
      </c>
      <c r="G27" s="42">
        <v>2500</v>
      </c>
      <c r="H27" s="42">
        <v>5000</v>
      </c>
      <c r="I27" s="42">
        <v>1</v>
      </c>
      <c r="J27" s="45">
        <f>G27*0.001*2</f>
        <v>5</v>
      </c>
      <c r="K27" s="45" t="s">
        <v>876</v>
      </c>
      <c r="L27" s="46">
        <f>VLOOKUP(F27,BM!$A$2:$X$57,8,FALSE)</f>
        <v>0.3</v>
      </c>
      <c r="M27" s="46"/>
      <c r="N27" s="46">
        <f>J27*L27</f>
        <v>1.5</v>
      </c>
      <c r="O27" s="46">
        <v>1</v>
      </c>
      <c r="P27" s="46">
        <f>N27+O27</f>
        <v>2.5</v>
      </c>
    </row>
    <row r="28" spans="3:16" ht="18.75" customHeight="1">
      <c r="C28" s="40" t="s">
        <v>883</v>
      </c>
      <c r="D28" s="40" t="s">
        <v>875</v>
      </c>
      <c r="E28" s="41"/>
      <c r="F28" s="42">
        <v>18</v>
      </c>
      <c r="G28" s="42">
        <v>2500</v>
      </c>
      <c r="H28" s="42">
        <v>5000</v>
      </c>
      <c r="I28" s="42">
        <v>1</v>
      </c>
      <c r="J28" s="45">
        <f>G28*0.001*2</f>
        <v>5</v>
      </c>
      <c r="K28" s="45" t="s">
        <v>876</v>
      </c>
      <c r="L28" s="46">
        <f>VLOOKUP(F28,BM!$A$2:$X$57,8,FALSE)</f>
        <v>0.3</v>
      </c>
      <c r="M28" s="46"/>
      <c r="N28" s="46">
        <f>J28*L28</f>
        <v>1.5</v>
      </c>
      <c r="O28" s="46">
        <v>1</v>
      </c>
      <c r="P28" s="46">
        <f>N28+O28</f>
        <v>2.5</v>
      </c>
    </row>
    <row r="29" spans="3:16" ht="18.75" customHeight="1">
      <c r="C29" s="40" t="s">
        <v>883</v>
      </c>
      <c r="D29" s="40" t="s">
        <v>875</v>
      </c>
      <c r="E29" s="41"/>
      <c r="F29" s="42">
        <v>18</v>
      </c>
      <c r="G29" s="42">
        <v>2000</v>
      </c>
      <c r="H29" s="42">
        <v>5000</v>
      </c>
      <c r="I29" s="42">
        <v>1</v>
      </c>
      <c r="J29" s="45">
        <f>G29*0.001*2</f>
        <v>4</v>
      </c>
      <c r="K29" s="45" t="s">
        <v>876</v>
      </c>
      <c r="L29" s="46">
        <f>VLOOKUP(F29,BM!$A$2:$X$57,8,FALSE)</f>
        <v>0.3</v>
      </c>
      <c r="M29" s="46"/>
      <c r="N29" s="46">
        <f>J29*L29</f>
        <v>1.2</v>
      </c>
      <c r="O29" s="46">
        <v>1</v>
      </c>
      <c r="P29" s="46">
        <f>N29+O29</f>
        <v>2.2000000000000002</v>
      </c>
    </row>
    <row r="30" spans="3:16" ht="18.75" customHeight="1">
      <c r="C30" s="40" t="s">
        <v>883</v>
      </c>
      <c r="D30" s="40" t="s">
        <v>875</v>
      </c>
      <c r="E30" s="41"/>
      <c r="F30" s="42">
        <v>18</v>
      </c>
      <c r="G30" s="42">
        <v>1250</v>
      </c>
      <c r="H30" s="42">
        <v>5000</v>
      </c>
      <c r="I30" s="42">
        <v>1</v>
      </c>
      <c r="J30" s="45">
        <f>G30*0.001*2</f>
        <v>2.5</v>
      </c>
      <c r="K30" s="45" t="s">
        <v>876</v>
      </c>
      <c r="L30" s="46">
        <f>VLOOKUP(F30,BM!$A$2:$X$57,8,FALSE)</f>
        <v>0.3</v>
      </c>
      <c r="M30" s="46"/>
      <c r="N30" s="46">
        <f>J30*L30</f>
        <v>0.75</v>
      </c>
      <c r="O30" s="46">
        <v>1</v>
      </c>
      <c r="P30" s="46">
        <f>N30+O30</f>
        <v>1.75</v>
      </c>
    </row>
    <row r="31" spans="3:16" ht="18.75" customHeight="1">
      <c r="J31" s="47"/>
      <c r="K31" s="47"/>
      <c r="L31" s="48"/>
      <c r="M31" s="48"/>
      <c r="N31" s="48"/>
      <c r="O31" s="48"/>
      <c r="P31" s="48"/>
    </row>
    <row r="32" spans="3:16" ht="18.75" customHeight="1">
      <c r="C32" s="40" t="s">
        <v>884</v>
      </c>
      <c r="D32" s="40" t="s">
        <v>875</v>
      </c>
      <c r="E32" s="41"/>
      <c r="F32" s="42">
        <v>18</v>
      </c>
      <c r="G32" s="42">
        <v>2500</v>
      </c>
      <c r="H32" s="42">
        <v>4769</v>
      </c>
      <c r="I32" s="42">
        <v>2</v>
      </c>
      <c r="J32" s="45">
        <f>G32*0.001*2</f>
        <v>5</v>
      </c>
      <c r="K32" s="45" t="s">
        <v>876</v>
      </c>
      <c r="L32" s="46">
        <f>VLOOKUP(F32,BM!$A$2:$X$57,9,FALSE)</f>
        <v>1</v>
      </c>
      <c r="M32" s="46"/>
      <c r="N32" s="46">
        <f>J32*L32</f>
        <v>5</v>
      </c>
      <c r="O32" s="46">
        <v>1</v>
      </c>
      <c r="P32" s="46">
        <f>N32+O32</f>
        <v>6</v>
      </c>
    </row>
    <row r="33" spans="3:16" ht="18.75" customHeight="1">
      <c r="C33" s="40" t="s">
        <v>884</v>
      </c>
      <c r="D33" s="40" t="s">
        <v>875</v>
      </c>
      <c r="E33" s="41"/>
      <c r="F33" s="42">
        <v>18</v>
      </c>
      <c r="G33" s="42">
        <v>2500</v>
      </c>
      <c r="H33" s="42">
        <v>4769</v>
      </c>
      <c r="I33" s="42">
        <v>1</v>
      </c>
      <c r="J33" s="45">
        <f>G33*0.001*2</f>
        <v>5</v>
      </c>
      <c r="K33" s="45" t="s">
        <v>876</v>
      </c>
      <c r="L33" s="46">
        <f>VLOOKUP(F33,BM!$A$2:$X$57,9,FALSE)</f>
        <v>1</v>
      </c>
      <c r="M33" s="46"/>
      <c r="N33" s="46">
        <f>J33*L33</f>
        <v>5</v>
      </c>
      <c r="O33" s="46">
        <v>1</v>
      </c>
      <c r="P33" s="46">
        <f>N33+O33</f>
        <v>6</v>
      </c>
    </row>
    <row r="34" spans="3:16" ht="18.75" customHeight="1">
      <c r="C34" s="40" t="s">
        <v>884</v>
      </c>
      <c r="D34" s="40" t="s">
        <v>875</v>
      </c>
      <c r="E34" s="41"/>
      <c r="F34" s="42">
        <v>18</v>
      </c>
      <c r="G34" s="42">
        <v>2000</v>
      </c>
      <c r="H34" s="42">
        <v>4769</v>
      </c>
      <c r="I34" s="42">
        <v>1</v>
      </c>
      <c r="J34" s="45">
        <f>G34*0.001*2</f>
        <v>4</v>
      </c>
      <c r="K34" s="45" t="s">
        <v>876</v>
      </c>
      <c r="L34" s="46">
        <f>VLOOKUP(F34,BM!$A$2:$X$57,9,FALSE)</f>
        <v>1</v>
      </c>
      <c r="M34" s="46"/>
      <c r="N34" s="46">
        <f>J34*L34</f>
        <v>4</v>
      </c>
      <c r="O34" s="46">
        <v>1</v>
      </c>
      <c r="P34" s="46">
        <f>N34+O34</f>
        <v>5</v>
      </c>
    </row>
    <row r="35" spans="3:16" ht="18.75" customHeight="1">
      <c r="C35" s="40" t="s">
        <v>884</v>
      </c>
      <c r="D35" s="40" t="s">
        <v>875</v>
      </c>
      <c r="E35" s="41"/>
      <c r="F35" s="42">
        <v>18</v>
      </c>
      <c r="G35" s="42">
        <v>1250</v>
      </c>
      <c r="H35" s="42">
        <v>4769</v>
      </c>
      <c r="I35" s="42">
        <v>1</v>
      </c>
      <c r="J35" s="45">
        <f>G35*0.001*2</f>
        <v>2.5</v>
      </c>
      <c r="K35" s="45" t="s">
        <v>876</v>
      </c>
      <c r="L35" s="46">
        <f>VLOOKUP(F35,BM!$A$2:$X$57,9,FALSE)</f>
        <v>1</v>
      </c>
      <c r="M35" s="46"/>
      <c r="N35" s="46">
        <f>J35*L35</f>
        <v>2.5</v>
      </c>
      <c r="O35" s="46">
        <v>1</v>
      </c>
      <c r="P35" s="46">
        <f>N35+O35</f>
        <v>3.5</v>
      </c>
    </row>
    <row r="36" spans="3:16" ht="18.75" customHeight="1">
      <c r="J36" s="47"/>
      <c r="K36" s="47"/>
      <c r="L36" s="48"/>
      <c r="M36" s="48"/>
      <c r="N36" s="48"/>
      <c r="O36" s="48"/>
      <c r="P36" s="48"/>
    </row>
    <row r="37" spans="3:16" ht="18.75" customHeight="1">
      <c r="C37" s="40" t="s">
        <v>885</v>
      </c>
      <c r="D37" s="40" t="s">
        <v>875</v>
      </c>
      <c r="E37" s="41"/>
      <c r="F37" s="42">
        <v>18</v>
      </c>
      <c r="G37" s="42">
        <v>2500</v>
      </c>
      <c r="H37" s="42">
        <v>4769</v>
      </c>
      <c r="I37" s="42">
        <v>1</v>
      </c>
      <c r="J37" s="45">
        <f>G37*0.001*I37</f>
        <v>2.5</v>
      </c>
      <c r="K37" s="45" t="s">
        <v>886</v>
      </c>
      <c r="L37" s="46">
        <f>VLOOKUP(F37,BM!$A$2:$X$57,9,FALSE)</f>
        <v>1</v>
      </c>
      <c r="M37" s="46"/>
      <c r="N37" s="46">
        <f>J37*L37</f>
        <v>2.5</v>
      </c>
      <c r="O37" s="46">
        <v>1</v>
      </c>
      <c r="P37" s="46">
        <f>N37+O37</f>
        <v>3.5</v>
      </c>
    </row>
    <row r="38" spans="3:16" ht="18.75" customHeight="1">
      <c r="C38" s="40" t="s">
        <v>885</v>
      </c>
      <c r="D38" s="40" t="s">
        <v>875</v>
      </c>
      <c r="E38" s="41"/>
      <c r="F38" s="42">
        <v>24</v>
      </c>
      <c r="G38" s="42">
        <v>2500</v>
      </c>
      <c r="H38" s="42">
        <v>4769</v>
      </c>
      <c r="I38" s="42">
        <v>1</v>
      </c>
      <c r="J38" s="45">
        <f>G38*0.001*I38</f>
        <v>2.5</v>
      </c>
      <c r="K38" s="45" t="s">
        <v>886</v>
      </c>
      <c r="L38" s="46">
        <f>VLOOKUP(F38,BM!$A$2:$X$57,9,FALSE)</f>
        <v>1</v>
      </c>
      <c r="M38" s="46"/>
      <c r="N38" s="46">
        <f>J38*L38</f>
        <v>2.5</v>
      </c>
      <c r="O38" s="46">
        <v>1</v>
      </c>
      <c r="P38" s="46">
        <f>N38+O38</f>
        <v>3.5</v>
      </c>
    </row>
    <row r="39" spans="3:16" ht="18.75" customHeight="1">
      <c r="C39" s="40" t="s">
        <v>885</v>
      </c>
      <c r="D39" s="40" t="s">
        <v>875</v>
      </c>
      <c r="E39" s="41"/>
      <c r="F39" s="42">
        <v>24</v>
      </c>
      <c r="G39" s="42">
        <v>2000</v>
      </c>
      <c r="H39" s="42">
        <v>4769</v>
      </c>
      <c r="I39" s="42">
        <v>1</v>
      </c>
      <c r="J39" s="45">
        <f>G39*0.001*I39</f>
        <v>2</v>
      </c>
      <c r="K39" s="45" t="s">
        <v>886</v>
      </c>
      <c r="L39" s="46">
        <f>VLOOKUP(F39,BM!$A$2:$X$57,9,FALSE)</f>
        <v>1</v>
      </c>
      <c r="M39" s="46"/>
      <c r="N39" s="46">
        <f>J39*L39</f>
        <v>2</v>
      </c>
      <c r="O39" s="46">
        <v>1</v>
      </c>
      <c r="P39" s="46">
        <f>N39+O39</f>
        <v>3</v>
      </c>
    </row>
    <row r="40" spans="3:16" ht="18.75" customHeight="1">
      <c r="C40" s="40" t="s">
        <v>885</v>
      </c>
      <c r="D40" s="40" t="s">
        <v>875</v>
      </c>
      <c r="E40" s="41"/>
      <c r="F40" s="42">
        <v>24</v>
      </c>
      <c r="G40" s="42">
        <v>1250</v>
      </c>
      <c r="H40" s="42">
        <v>4769</v>
      </c>
      <c r="I40" s="42">
        <v>1</v>
      </c>
      <c r="J40" s="45">
        <f>G40*0.001*I40</f>
        <v>1.25</v>
      </c>
      <c r="K40" s="45" t="s">
        <v>886</v>
      </c>
      <c r="L40" s="46">
        <f>VLOOKUP(F40,BM!$A$2:$X$57,9,FALSE)</f>
        <v>1</v>
      </c>
      <c r="M40" s="46"/>
      <c r="N40" s="46">
        <f>J40*L40</f>
        <v>1.25</v>
      </c>
      <c r="O40" s="46">
        <v>1</v>
      </c>
      <c r="P40" s="46">
        <f>N40+O40</f>
        <v>2.25</v>
      </c>
    </row>
    <row r="41" spans="3:16" ht="18.75" customHeight="1">
      <c r="C41" s="34"/>
      <c r="D41" s="34"/>
      <c r="E41" s="34"/>
    </row>
    <row r="42" spans="3:16" ht="18.75" customHeight="1">
      <c r="C42" s="40" t="s">
        <v>887</v>
      </c>
      <c r="D42" s="40" t="s">
        <v>875</v>
      </c>
      <c r="E42" s="41" t="s">
        <v>581</v>
      </c>
      <c r="F42" s="42">
        <v>24</v>
      </c>
      <c r="G42" s="42">
        <v>2500</v>
      </c>
      <c r="H42" s="42">
        <v>4769</v>
      </c>
      <c r="I42" s="42">
        <v>1</v>
      </c>
      <c r="J42" s="45">
        <v>1</v>
      </c>
      <c r="K42" s="45" t="s">
        <v>39</v>
      </c>
      <c r="L42" s="46">
        <v>3</v>
      </c>
      <c r="M42" s="46"/>
      <c r="N42" s="46">
        <f>J42*L42</f>
        <v>3</v>
      </c>
      <c r="O42" s="46">
        <v>1</v>
      </c>
      <c r="P42" s="46">
        <f>N42+O42</f>
        <v>4</v>
      </c>
    </row>
    <row r="43" spans="3:16" ht="18.75" customHeight="1">
      <c r="C43" s="40" t="s">
        <v>887</v>
      </c>
      <c r="D43" s="40" t="s">
        <v>875</v>
      </c>
      <c r="E43" s="41" t="s">
        <v>581</v>
      </c>
      <c r="F43" s="42">
        <v>24</v>
      </c>
      <c r="G43" s="42">
        <v>2500</v>
      </c>
      <c r="H43" s="42">
        <v>4769</v>
      </c>
      <c r="I43" s="42">
        <v>1</v>
      </c>
      <c r="J43" s="45">
        <v>1</v>
      </c>
      <c r="K43" s="45" t="s">
        <v>39</v>
      </c>
      <c r="L43" s="46">
        <v>3</v>
      </c>
      <c r="M43" s="46"/>
      <c r="N43" s="46">
        <f>J43*L43</f>
        <v>3</v>
      </c>
      <c r="O43" s="46">
        <v>1</v>
      </c>
      <c r="P43" s="46">
        <f>N43+O43</f>
        <v>4</v>
      </c>
    </row>
    <row r="44" spans="3:16" ht="18.75" customHeight="1">
      <c r="C44" s="40" t="s">
        <v>887</v>
      </c>
      <c r="D44" s="40" t="s">
        <v>875</v>
      </c>
      <c r="E44" s="41" t="s">
        <v>581</v>
      </c>
      <c r="F44" s="42">
        <v>24</v>
      </c>
      <c r="G44" s="42">
        <v>2000</v>
      </c>
      <c r="H44" s="42">
        <v>4769</v>
      </c>
      <c r="I44" s="42">
        <v>1</v>
      </c>
      <c r="J44" s="45">
        <v>1</v>
      </c>
      <c r="K44" s="45" t="s">
        <v>39</v>
      </c>
      <c r="L44" s="46">
        <v>3</v>
      </c>
      <c r="M44" s="46"/>
      <c r="N44" s="46">
        <f>J44*L44</f>
        <v>3</v>
      </c>
      <c r="O44" s="46">
        <v>1</v>
      </c>
      <c r="P44" s="46">
        <f>N44+O44</f>
        <v>4</v>
      </c>
    </row>
    <row r="45" spans="3:16" ht="18.75" customHeight="1">
      <c r="C45" s="40" t="s">
        <v>887</v>
      </c>
      <c r="D45" s="40" t="s">
        <v>875</v>
      </c>
      <c r="E45" s="41" t="s">
        <v>581</v>
      </c>
      <c r="F45" s="42">
        <v>24</v>
      </c>
      <c r="G45" s="42">
        <v>1250</v>
      </c>
      <c r="H45" s="42">
        <v>4769</v>
      </c>
      <c r="I45" s="42">
        <v>1</v>
      </c>
      <c r="J45" s="45">
        <v>1</v>
      </c>
      <c r="K45" s="45" t="s">
        <v>39</v>
      </c>
      <c r="L45" s="46">
        <v>3</v>
      </c>
      <c r="M45" s="46"/>
      <c r="N45" s="46">
        <f>J45*L45</f>
        <v>3</v>
      </c>
      <c r="O45" s="46">
        <v>1</v>
      </c>
      <c r="P45" s="46">
        <f>N45+O45</f>
        <v>4</v>
      </c>
    </row>
    <row r="46" spans="3:16" ht="18.75" customHeight="1">
      <c r="J46" s="47"/>
      <c r="K46" s="47"/>
      <c r="L46" s="48"/>
      <c r="M46" s="48"/>
      <c r="N46" s="48"/>
      <c r="O46" s="48"/>
      <c r="P46" s="48"/>
    </row>
    <row r="47" spans="3:16" ht="18.75" customHeight="1">
      <c r="C47" s="40" t="s">
        <v>888</v>
      </c>
      <c r="D47" s="40" t="s">
        <v>875</v>
      </c>
      <c r="E47" s="41"/>
      <c r="F47" s="42">
        <v>24</v>
      </c>
      <c r="G47" s="44">
        <v>2500</v>
      </c>
      <c r="H47" s="42" t="s">
        <v>889</v>
      </c>
      <c r="I47" s="42">
        <v>1</v>
      </c>
      <c r="J47" s="45">
        <f>G47*0.001*I47</f>
        <v>2.5</v>
      </c>
      <c r="K47" s="45" t="s">
        <v>886</v>
      </c>
      <c r="L47" s="46">
        <f>VLOOKUP(F47,BM!$A$2:$X$57,10,FALSE)</f>
        <v>1</v>
      </c>
      <c r="M47" s="46"/>
      <c r="N47" s="46">
        <f>J47*L47</f>
        <v>2.5</v>
      </c>
      <c r="O47" s="46">
        <v>1</v>
      </c>
      <c r="P47" s="46">
        <f>N47+O47</f>
        <v>3.5</v>
      </c>
    </row>
    <row r="48" spans="3:16" ht="18.75" customHeight="1">
      <c r="C48" s="40" t="s">
        <v>888</v>
      </c>
      <c r="D48" s="40" t="s">
        <v>875</v>
      </c>
      <c r="E48" s="41"/>
      <c r="F48" s="42">
        <v>24</v>
      </c>
      <c r="G48" s="44">
        <v>2500</v>
      </c>
      <c r="H48" s="42" t="s">
        <v>889</v>
      </c>
      <c r="I48" s="42">
        <v>1</v>
      </c>
      <c r="J48" s="45">
        <f>G48*0.001*I48</f>
        <v>2.5</v>
      </c>
      <c r="K48" s="45" t="s">
        <v>886</v>
      </c>
      <c r="L48" s="46">
        <f>VLOOKUP(F48,BM!$A$2:$X$57,10,FALSE)</f>
        <v>1</v>
      </c>
      <c r="M48" s="46"/>
      <c r="N48" s="46">
        <f>J48*L48</f>
        <v>2.5</v>
      </c>
      <c r="O48" s="46">
        <v>1</v>
      </c>
      <c r="P48" s="46">
        <f>N48+O48</f>
        <v>3.5</v>
      </c>
    </row>
    <row r="49" spans="3:16" ht="18.75" customHeight="1">
      <c r="C49" s="40" t="s">
        <v>888</v>
      </c>
      <c r="D49" s="40" t="s">
        <v>875</v>
      </c>
      <c r="E49" s="41"/>
      <c r="F49" s="42">
        <v>24</v>
      </c>
      <c r="G49" s="44">
        <v>2000</v>
      </c>
      <c r="H49" s="42" t="s">
        <v>889</v>
      </c>
      <c r="I49" s="42">
        <v>1</v>
      </c>
      <c r="J49" s="45">
        <f>G49*0.001*I49</f>
        <v>2</v>
      </c>
      <c r="K49" s="45" t="s">
        <v>886</v>
      </c>
      <c r="L49" s="46">
        <f>VLOOKUP(F49,BM!$A$2:$X$57,10,FALSE)</f>
        <v>1</v>
      </c>
      <c r="M49" s="46"/>
      <c r="N49" s="46">
        <f>J49*L49</f>
        <v>2</v>
      </c>
      <c r="O49" s="46">
        <v>1</v>
      </c>
      <c r="P49" s="46">
        <f>N49+O49</f>
        <v>3</v>
      </c>
    </row>
    <row r="50" spans="3:16" ht="18.75" customHeight="1">
      <c r="C50" s="40" t="s">
        <v>888</v>
      </c>
      <c r="D50" s="40" t="s">
        <v>875</v>
      </c>
      <c r="E50" s="41"/>
      <c r="F50" s="42">
        <v>24</v>
      </c>
      <c r="G50" s="44">
        <v>1250</v>
      </c>
      <c r="H50" s="42" t="s">
        <v>889</v>
      </c>
      <c r="I50" s="42">
        <v>1</v>
      </c>
      <c r="J50" s="45">
        <f>G50*0.001*I50</f>
        <v>1.25</v>
      </c>
      <c r="K50" s="45" t="s">
        <v>886</v>
      </c>
      <c r="L50" s="46">
        <f>VLOOKUP(F50,BM!$A$2:$X$57,10,FALSE)</f>
        <v>1</v>
      </c>
      <c r="M50" s="46"/>
      <c r="N50" s="46">
        <f>J50*L50</f>
        <v>1.25</v>
      </c>
      <c r="O50" s="46">
        <v>1</v>
      </c>
      <c r="P50" s="46">
        <f>N50+O50</f>
        <v>2.25</v>
      </c>
    </row>
    <row r="51" spans="3:16" ht="18.75" customHeight="1">
      <c r="J51" s="47"/>
      <c r="K51" s="47"/>
      <c r="L51" s="48"/>
      <c r="M51" s="48"/>
      <c r="N51" s="48"/>
      <c r="O51" s="48"/>
      <c r="P51" s="48"/>
    </row>
    <row r="52" spans="3:16" ht="18.75" customHeight="1">
      <c r="C52" s="40" t="s">
        <v>890</v>
      </c>
      <c r="D52" s="40" t="s">
        <v>875</v>
      </c>
      <c r="E52" s="41" t="s">
        <v>581</v>
      </c>
      <c r="F52" s="42">
        <v>24</v>
      </c>
      <c r="G52" s="44">
        <v>2500</v>
      </c>
      <c r="H52" s="42" t="s">
        <v>889</v>
      </c>
      <c r="I52" s="42">
        <v>1</v>
      </c>
      <c r="J52" s="45">
        <f>G52*0.001*I52</f>
        <v>2.5</v>
      </c>
      <c r="K52" s="45" t="s">
        <v>886</v>
      </c>
      <c r="L52" s="46">
        <v>1</v>
      </c>
      <c r="M52" s="46"/>
      <c r="N52" s="46">
        <f>J52*L52</f>
        <v>2.5</v>
      </c>
      <c r="O52" s="46">
        <v>1</v>
      </c>
      <c r="P52" s="46">
        <f>N52+O52</f>
        <v>3.5</v>
      </c>
    </row>
    <row r="53" spans="3:16" ht="18.75" customHeight="1">
      <c r="C53" s="40" t="s">
        <v>890</v>
      </c>
      <c r="D53" s="40" t="s">
        <v>875</v>
      </c>
      <c r="E53" s="41" t="s">
        <v>581</v>
      </c>
      <c r="F53" s="42">
        <v>24</v>
      </c>
      <c r="G53" s="44">
        <v>2500</v>
      </c>
      <c r="H53" s="42" t="s">
        <v>889</v>
      </c>
      <c r="I53" s="42">
        <v>1</v>
      </c>
      <c r="J53" s="45">
        <f t="shared" ref="J53:J55" si="0">G53*0.001*I53</f>
        <v>2.5</v>
      </c>
      <c r="K53" s="45" t="s">
        <v>886</v>
      </c>
      <c r="L53" s="46">
        <v>1</v>
      </c>
      <c r="M53" s="46"/>
      <c r="N53" s="46">
        <f t="shared" ref="N53:N55" si="1">J53*L53</f>
        <v>2.5</v>
      </c>
      <c r="O53" s="46">
        <v>1</v>
      </c>
      <c r="P53" s="46">
        <f t="shared" ref="P53:P55" si="2">N53+O53</f>
        <v>3.5</v>
      </c>
    </row>
    <row r="54" spans="3:16" ht="18.75" customHeight="1">
      <c r="C54" s="40" t="s">
        <v>890</v>
      </c>
      <c r="D54" s="40" t="s">
        <v>875</v>
      </c>
      <c r="E54" s="41" t="s">
        <v>581</v>
      </c>
      <c r="F54" s="42">
        <v>24</v>
      </c>
      <c r="G54" s="44">
        <v>2000</v>
      </c>
      <c r="H54" s="42" t="s">
        <v>889</v>
      </c>
      <c r="I54" s="42">
        <v>1</v>
      </c>
      <c r="J54" s="45">
        <f t="shared" si="0"/>
        <v>2</v>
      </c>
      <c r="K54" s="45" t="s">
        <v>886</v>
      </c>
      <c r="L54" s="46">
        <v>1</v>
      </c>
      <c r="M54" s="46"/>
      <c r="N54" s="46">
        <f t="shared" si="1"/>
        <v>2</v>
      </c>
      <c r="O54" s="46">
        <v>1</v>
      </c>
      <c r="P54" s="46">
        <f t="shared" si="2"/>
        <v>3</v>
      </c>
    </row>
    <row r="55" spans="3:16" ht="18.75" customHeight="1">
      <c r="C55" s="40" t="s">
        <v>890</v>
      </c>
      <c r="D55" s="40" t="s">
        <v>875</v>
      </c>
      <c r="E55" s="41" t="s">
        <v>581</v>
      </c>
      <c r="F55" s="42">
        <v>24</v>
      </c>
      <c r="G55" s="44">
        <v>1250</v>
      </c>
      <c r="H55" s="42" t="s">
        <v>889</v>
      </c>
      <c r="I55" s="42">
        <v>1</v>
      </c>
      <c r="J55" s="45">
        <f t="shared" si="0"/>
        <v>1.25</v>
      </c>
      <c r="K55" s="45" t="s">
        <v>886</v>
      </c>
      <c r="L55" s="46">
        <v>1</v>
      </c>
      <c r="M55" s="46"/>
      <c r="N55" s="46">
        <f t="shared" si="1"/>
        <v>1.25</v>
      </c>
      <c r="O55" s="46">
        <v>1</v>
      </c>
      <c r="P55" s="46">
        <f t="shared" si="2"/>
        <v>2.25</v>
      </c>
    </row>
    <row r="56" spans="3:16" ht="18.75" customHeight="1">
      <c r="J56" s="47"/>
      <c r="K56" s="47"/>
      <c r="L56" s="48"/>
      <c r="M56" s="48"/>
      <c r="N56" s="48"/>
      <c r="O56" s="48"/>
      <c r="P56" s="48"/>
    </row>
    <row r="57" spans="3:16" ht="18.75" customHeight="1">
      <c r="C57" s="40" t="s">
        <v>891</v>
      </c>
      <c r="D57" s="40" t="s">
        <v>875</v>
      </c>
      <c r="E57" s="41" t="s">
        <v>581</v>
      </c>
      <c r="F57" s="42">
        <v>24</v>
      </c>
      <c r="G57" s="42">
        <v>2500</v>
      </c>
      <c r="H57" s="42" t="s">
        <v>889</v>
      </c>
      <c r="I57" s="42">
        <v>1</v>
      </c>
      <c r="J57" s="45">
        <v>1</v>
      </c>
      <c r="K57" s="45" t="s">
        <v>39</v>
      </c>
      <c r="L57" s="49">
        <v>2</v>
      </c>
      <c r="M57" s="49"/>
      <c r="N57" s="46">
        <f>J57*L57</f>
        <v>2</v>
      </c>
      <c r="O57" s="46">
        <v>1</v>
      </c>
      <c r="P57" s="46">
        <f>N57+O57</f>
        <v>3</v>
      </c>
    </row>
    <row r="58" spans="3:16" ht="18.75" customHeight="1">
      <c r="C58" s="40" t="s">
        <v>891</v>
      </c>
      <c r="D58" s="40" t="s">
        <v>875</v>
      </c>
      <c r="E58" s="41" t="s">
        <v>581</v>
      </c>
      <c r="F58" s="42">
        <v>24</v>
      </c>
      <c r="G58" s="42">
        <v>2500</v>
      </c>
      <c r="H58" s="42" t="s">
        <v>889</v>
      </c>
      <c r="I58" s="42">
        <v>1</v>
      </c>
      <c r="J58" s="45">
        <v>1</v>
      </c>
      <c r="K58" s="45" t="s">
        <v>39</v>
      </c>
      <c r="L58" s="49">
        <v>2</v>
      </c>
      <c r="M58" s="49"/>
      <c r="N58" s="46">
        <f>J58*L58</f>
        <v>2</v>
      </c>
      <c r="O58" s="46">
        <v>1</v>
      </c>
      <c r="P58" s="46">
        <f>N58+O58</f>
        <v>3</v>
      </c>
    </row>
    <row r="59" spans="3:16" ht="18.75" customHeight="1">
      <c r="C59" s="40" t="s">
        <v>891</v>
      </c>
      <c r="D59" s="40" t="s">
        <v>875</v>
      </c>
      <c r="E59" s="41" t="s">
        <v>581</v>
      </c>
      <c r="F59" s="42">
        <v>24</v>
      </c>
      <c r="G59" s="42">
        <v>2000</v>
      </c>
      <c r="H59" s="42" t="s">
        <v>889</v>
      </c>
      <c r="I59" s="42">
        <v>1</v>
      </c>
      <c r="J59" s="45">
        <v>1</v>
      </c>
      <c r="K59" s="45" t="s">
        <v>39</v>
      </c>
      <c r="L59" s="49">
        <v>2</v>
      </c>
      <c r="M59" s="49"/>
      <c r="N59" s="46">
        <f>J59*L59</f>
        <v>2</v>
      </c>
      <c r="O59" s="46">
        <v>1</v>
      </c>
      <c r="P59" s="46">
        <f>N59+O59</f>
        <v>3</v>
      </c>
    </row>
    <row r="60" spans="3:16" ht="18.75" customHeight="1">
      <c r="C60" s="40" t="s">
        <v>891</v>
      </c>
      <c r="D60" s="40" t="s">
        <v>875</v>
      </c>
      <c r="E60" s="41" t="s">
        <v>581</v>
      </c>
      <c r="F60" s="42">
        <v>24</v>
      </c>
      <c r="G60" s="42">
        <v>1250</v>
      </c>
      <c r="H60" s="42" t="s">
        <v>889</v>
      </c>
      <c r="I60" s="42">
        <v>1</v>
      </c>
      <c r="J60" s="45">
        <v>1</v>
      </c>
      <c r="K60" s="45" t="s">
        <v>39</v>
      </c>
      <c r="L60" s="49">
        <v>2</v>
      </c>
      <c r="M60" s="49"/>
      <c r="N60" s="46">
        <f>J60*L60</f>
        <v>2</v>
      </c>
      <c r="O60" s="46">
        <v>1</v>
      </c>
      <c r="P60" s="46">
        <f>N60+O60</f>
        <v>3</v>
      </c>
    </row>
    <row r="61" spans="3:16" ht="18.75" customHeight="1">
      <c r="J61" s="47"/>
      <c r="K61" s="47"/>
      <c r="L61" s="48"/>
      <c r="M61" s="48"/>
      <c r="N61" s="48"/>
      <c r="O61" s="48"/>
      <c r="P61" s="48"/>
    </row>
    <row r="62" spans="3:16" ht="18.75" customHeight="1">
      <c r="C62" s="40" t="s">
        <v>892</v>
      </c>
      <c r="D62" s="40" t="s">
        <v>875</v>
      </c>
      <c r="E62" s="41"/>
      <c r="F62" s="42">
        <v>12</v>
      </c>
      <c r="G62" s="42">
        <v>2500</v>
      </c>
      <c r="H62" s="42">
        <v>4769</v>
      </c>
      <c r="I62" s="42">
        <v>1</v>
      </c>
      <c r="J62" s="45">
        <f>H62*0.001*I62</f>
        <v>4.7690000000000001</v>
      </c>
      <c r="K62" s="45" t="s">
        <v>39</v>
      </c>
      <c r="L62" s="49">
        <f>VLOOKUP(F62,BM!$A$2:$X$57,12,FALSE)</f>
        <v>2.5</v>
      </c>
      <c r="M62" s="49"/>
      <c r="N62" s="46">
        <f>J62*L62</f>
        <v>11.922499999999999</v>
      </c>
      <c r="O62" s="46">
        <v>1</v>
      </c>
      <c r="P62" s="46">
        <f>N62+O62</f>
        <v>12.922499999999999</v>
      </c>
    </row>
    <row r="63" spans="3:16" ht="18.75" customHeight="1">
      <c r="C63" s="40" t="s">
        <v>892</v>
      </c>
      <c r="D63" s="40" t="s">
        <v>875</v>
      </c>
      <c r="E63" s="41"/>
      <c r="F63" s="42">
        <v>12</v>
      </c>
      <c r="G63" s="42">
        <v>2500</v>
      </c>
      <c r="H63" s="42">
        <v>4769</v>
      </c>
      <c r="I63" s="42">
        <v>1</v>
      </c>
      <c r="J63" s="45">
        <f t="shared" ref="J63:J65" si="3">H63*0.001*I63</f>
        <v>4.7690000000000001</v>
      </c>
      <c r="K63" s="45" t="s">
        <v>39</v>
      </c>
      <c r="L63" s="49">
        <f>VLOOKUP(F63,BM!$A$2:$X$57,12,FALSE)</f>
        <v>2.5</v>
      </c>
      <c r="M63" s="49"/>
      <c r="N63" s="46">
        <f>J63*L63</f>
        <v>11.922499999999999</v>
      </c>
      <c r="O63" s="46">
        <v>1</v>
      </c>
      <c r="P63" s="46">
        <f>N63+O63</f>
        <v>12.922499999999999</v>
      </c>
    </row>
    <row r="64" spans="3:16" ht="18.75" customHeight="1">
      <c r="C64" s="40" t="s">
        <v>892</v>
      </c>
      <c r="D64" s="40" t="s">
        <v>875</v>
      </c>
      <c r="E64" s="41"/>
      <c r="F64" s="42">
        <v>12</v>
      </c>
      <c r="G64" s="42">
        <v>2000</v>
      </c>
      <c r="H64" s="42">
        <v>4769</v>
      </c>
      <c r="I64" s="42">
        <v>1</v>
      </c>
      <c r="J64" s="45">
        <f t="shared" si="3"/>
        <v>4.7690000000000001</v>
      </c>
      <c r="K64" s="45" t="s">
        <v>39</v>
      </c>
      <c r="L64" s="49">
        <f>VLOOKUP(F64,BM!$A$2:$X$57,12,FALSE)</f>
        <v>2.5</v>
      </c>
      <c r="M64" s="49"/>
      <c r="N64" s="46">
        <f>J64*L64</f>
        <v>11.922499999999999</v>
      </c>
      <c r="O64" s="46">
        <v>1</v>
      </c>
      <c r="P64" s="46">
        <f>N64+O64</f>
        <v>12.922499999999999</v>
      </c>
    </row>
    <row r="65" spans="3:16" ht="18.75" customHeight="1">
      <c r="C65" s="40" t="s">
        <v>892</v>
      </c>
      <c r="D65" s="40" t="s">
        <v>875</v>
      </c>
      <c r="E65" s="41"/>
      <c r="F65" s="42">
        <v>12</v>
      </c>
      <c r="G65" s="42">
        <v>1250</v>
      </c>
      <c r="H65" s="42">
        <v>4769</v>
      </c>
      <c r="I65" s="42">
        <v>1</v>
      </c>
      <c r="J65" s="45">
        <f t="shared" si="3"/>
        <v>4.7690000000000001</v>
      </c>
      <c r="K65" s="45" t="s">
        <v>39</v>
      </c>
      <c r="L65" s="49">
        <f>VLOOKUP(F65,BM!$A$2:$X$57,12,FALSE)</f>
        <v>2.5</v>
      </c>
      <c r="M65" s="49"/>
      <c r="N65" s="46">
        <f>J65*L65</f>
        <v>11.922499999999999</v>
      </c>
      <c r="O65" s="46">
        <v>1</v>
      </c>
      <c r="P65" s="46">
        <f>N65+O65</f>
        <v>12.922499999999999</v>
      </c>
    </row>
    <row r="66" spans="3:16" ht="18.75" customHeight="1">
      <c r="J66" s="47"/>
      <c r="K66" s="47"/>
      <c r="L66" s="48"/>
      <c r="M66" s="48"/>
      <c r="N66" s="48"/>
      <c r="O66" s="48"/>
      <c r="P66" s="48"/>
    </row>
    <row r="67" spans="3:16" ht="18.75" customHeight="1">
      <c r="C67" s="40" t="s">
        <v>893</v>
      </c>
      <c r="D67" s="40" t="s">
        <v>875</v>
      </c>
      <c r="E67" s="41"/>
      <c r="F67" s="42">
        <v>6</v>
      </c>
      <c r="G67" s="42" t="s">
        <v>894</v>
      </c>
      <c r="H67" s="44">
        <v>2500</v>
      </c>
      <c r="I67" s="42">
        <v>1</v>
      </c>
      <c r="J67" s="45">
        <f>H67*0.001*I67</f>
        <v>2.5</v>
      </c>
      <c r="K67" s="45" t="s">
        <v>39</v>
      </c>
      <c r="L67" s="49">
        <f>VLOOKUP(F67,BM!$A$2:$X$57,18,FALSE)</f>
        <v>1</v>
      </c>
      <c r="M67" s="49"/>
      <c r="N67" s="46">
        <f>J67*L67</f>
        <v>2.5</v>
      </c>
      <c r="O67" s="46">
        <v>1</v>
      </c>
      <c r="P67" s="46">
        <f>N67+O67</f>
        <v>3.5</v>
      </c>
    </row>
    <row r="68" spans="3:16" ht="18.75" customHeight="1">
      <c r="C68" s="40" t="s">
        <v>893</v>
      </c>
      <c r="D68" s="40" t="s">
        <v>875</v>
      </c>
      <c r="E68" s="41"/>
      <c r="F68" s="42">
        <v>6</v>
      </c>
      <c r="G68" s="42" t="s">
        <v>894</v>
      </c>
      <c r="H68" s="44">
        <v>2500</v>
      </c>
      <c r="I68" s="42">
        <v>1</v>
      </c>
      <c r="J68" s="45">
        <f t="shared" ref="J68:J70" si="4">H68*0.001*I68</f>
        <v>2.5</v>
      </c>
      <c r="K68" s="45" t="s">
        <v>39</v>
      </c>
      <c r="L68" s="49">
        <f>VLOOKUP(F68,BM!$A$2:$X$57,18,FALSE)</f>
        <v>1</v>
      </c>
      <c r="M68" s="49"/>
      <c r="N68" s="46">
        <f>J68*L68</f>
        <v>2.5</v>
      </c>
      <c r="O68" s="46">
        <v>1</v>
      </c>
      <c r="P68" s="46">
        <f>N68+O68</f>
        <v>3.5</v>
      </c>
    </row>
    <row r="69" spans="3:16" ht="18.75" customHeight="1">
      <c r="C69" s="40" t="s">
        <v>893</v>
      </c>
      <c r="D69" s="40" t="s">
        <v>875</v>
      </c>
      <c r="E69" s="41"/>
      <c r="F69" s="42">
        <v>6</v>
      </c>
      <c r="G69" s="42" t="s">
        <v>894</v>
      </c>
      <c r="H69" s="44">
        <v>2500</v>
      </c>
      <c r="I69" s="42">
        <v>1</v>
      </c>
      <c r="J69" s="45">
        <f t="shared" si="4"/>
        <v>2.5</v>
      </c>
      <c r="K69" s="45" t="s">
        <v>39</v>
      </c>
      <c r="L69" s="49">
        <f>VLOOKUP(F69,BM!$A$2:$X$57,18,FALSE)</f>
        <v>1</v>
      </c>
      <c r="M69" s="49"/>
      <c r="N69" s="46">
        <f>J69*L69</f>
        <v>2.5</v>
      </c>
      <c r="O69" s="46">
        <v>1</v>
      </c>
      <c r="P69" s="46">
        <f>N69+O69</f>
        <v>3.5</v>
      </c>
    </row>
    <row r="70" spans="3:16" ht="18.75" customHeight="1">
      <c r="C70" s="40" t="s">
        <v>893</v>
      </c>
      <c r="D70" s="40" t="s">
        <v>875</v>
      </c>
      <c r="E70" s="41"/>
      <c r="F70" s="42">
        <v>6</v>
      </c>
      <c r="G70" s="42" t="s">
        <v>894</v>
      </c>
      <c r="H70" s="44">
        <v>1250</v>
      </c>
      <c r="I70" s="42">
        <v>1</v>
      </c>
      <c r="J70" s="45">
        <f t="shared" si="4"/>
        <v>1.25</v>
      </c>
      <c r="K70" s="45" t="s">
        <v>39</v>
      </c>
      <c r="L70" s="49">
        <f>VLOOKUP(F70,BM!$A$2:$X$57,18,FALSE)</f>
        <v>1</v>
      </c>
      <c r="M70" s="49"/>
      <c r="N70" s="46">
        <f>J70*L70</f>
        <v>1.25</v>
      </c>
      <c r="O70" s="46">
        <v>1</v>
      </c>
      <c r="P70" s="46">
        <f>N70+O70</f>
        <v>2.25</v>
      </c>
    </row>
    <row r="71" spans="3:16" ht="18.75" customHeight="1">
      <c r="J71" s="47"/>
      <c r="K71" s="47"/>
      <c r="L71" s="48"/>
      <c r="M71" s="48"/>
      <c r="N71" s="48"/>
      <c r="O71" s="48"/>
      <c r="P71" s="48"/>
    </row>
    <row r="72" spans="3:16" ht="18.75" customHeight="1">
      <c r="C72" s="40" t="s">
        <v>895</v>
      </c>
      <c r="D72" s="40" t="s">
        <v>875</v>
      </c>
      <c r="E72" s="41"/>
      <c r="F72" s="42">
        <v>12</v>
      </c>
      <c r="G72" s="44">
        <v>2500</v>
      </c>
      <c r="H72" s="42" t="s">
        <v>894</v>
      </c>
      <c r="I72" s="42">
        <v>1</v>
      </c>
      <c r="J72" s="45">
        <f>G72*I72*0.001</f>
        <v>2.5</v>
      </c>
      <c r="K72" s="45" t="s">
        <v>249</v>
      </c>
      <c r="L72" s="49">
        <f>VLOOKUP(F72,BM!$A$2:$X$57,12,FALSE)</f>
        <v>2.5</v>
      </c>
      <c r="M72" s="49"/>
      <c r="N72" s="46">
        <f>J72*L72</f>
        <v>6.25</v>
      </c>
      <c r="O72" s="46">
        <v>1</v>
      </c>
      <c r="P72" s="46">
        <f>N72+O72</f>
        <v>7.25</v>
      </c>
    </row>
    <row r="73" spans="3:16" ht="18.75" customHeight="1">
      <c r="C73" s="40" t="s">
        <v>895</v>
      </c>
      <c r="D73" s="40" t="s">
        <v>875</v>
      </c>
      <c r="E73" s="41"/>
      <c r="F73" s="42">
        <v>12</v>
      </c>
      <c r="G73" s="44">
        <v>2500</v>
      </c>
      <c r="H73" s="42" t="s">
        <v>894</v>
      </c>
      <c r="I73" s="42">
        <v>1</v>
      </c>
      <c r="J73" s="45">
        <f>G73*I73*0.001</f>
        <v>2.5</v>
      </c>
      <c r="K73" s="45" t="s">
        <v>249</v>
      </c>
      <c r="L73" s="49">
        <f>VLOOKUP(F73,BM!$A$2:$X$57,12,FALSE)</f>
        <v>2.5</v>
      </c>
      <c r="M73" s="49"/>
      <c r="N73" s="46">
        <f>J73*L73</f>
        <v>6.25</v>
      </c>
      <c r="O73" s="46">
        <v>1</v>
      </c>
      <c r="P73" s="46">
        <f>N73+O73</f>
        <v>7.25</v>
      </c>
    </row>
    <row r="74" spans="3:16" ht="18.75" customHeight="1">
      <c r="C74" s="40" t="s">
        <v>895</v>
      </c>
      <c r="D74" s="40" t="s">
        <v>875</v>
      </c>
      <c r="E74" s="41"/>
      <c r="F74" s="42">
        <v>12</v>
      </c>
      <c r="G74" s="44">
        <v>2000</v>
      </c>
      <c r="H74" s="42" t="s">
        <v>894</v>
      </c>
      <c r="I74" s="42">
        <v>1</v>
      </c>
      <c r="J74" s="45">
        <f>G74*I74*0.001</f>
        <v>2</v>
      </c>
      <c r="K74" s="45" t="s">
        <v>249</v>
      </c>
      <c r="L74" s="49">
        <f>VLOOKUP(F74,BM!$A$2:$X$57,12,FALSE)</f>
        <v>2.5</v>
      </c>
      <c r="M74" s="49"/>
      <c r="N74" s="46">
        <f>J74*L74</f>
        <v>5</v>
      </c>
      <c r="O74" s="46">
        <v>1</v>
      </c>
      <c r="P74" s="46">
        <f>N74+O74</f>
        <v>6</v>
      </c>
    </row>
    <row r="75" spans="3:16" ht="18.75" customHeight="1">
      <c r="C75" s="40" t="s">
        <v>895</v>
      </c>
      <c r="D75" s="40" t="s">
        <v>875</v>
      </c>
      <c r="E75" s="41"/>
      <c r="F75" s="42">
        <v>12</v>
      </c>
      <c r="G75" s="44">
        <v>1250</v>
      </c>
      <c r="H75" s="42" t="s">
        <v>894</v>
      </c>
      <c r="I75" s="42">
        <v>1</v>
      </c>
      <c r="J75" s="45">
        <f>G75*I75*0.001</f>
        <v>1.25</v>
      </c>
      <c r="K75" s="45" t="s">
        <v>249</v>
      </c>
      <c r="L75" s="49">
        <f>VLOOKUP(F75,BM!$A$2:$X$57,12,FALSE)</f>
        <v>2.5</v>
      </c>
      <c r="M75" s="49"/>
      <c r="N75" s="46">
        <f>J75*L75</f>
        <v>3.125</v>
      </c>
      <c r="O75" s="46">
        <v>1</v>
      </c>
      <c r="P75" s="46">
        <f>N75+O75</f>
        <v>4.125</v>
      </c>
    </row>
    <row r="76" spans="3:16" ht="18.75" customHeight="1">
      <c r="J76" s="47"/>
      <c r="K76" s="47"/>
      <c r="L76" s="48"/>
      <c r="M76" s="48"/>
      <c r="N76" s="48"/>
      <c r="O76" s="48"/>
      <c r="P76" s="48"/>
    </row>
    <row r="77" spans="3:16" ht="18.75" customHeight="1">
      <c r="C77" s="40" t="s">
        <v>896</v>
      </c>
      <c r="D77" s="40" t="s">
        <v>875</v>
      </c>
      <c r="E77" s="41"/>
      <c r="F77" s="42">
        <v>12</v>
      </c>
      <c r="G77" s="44">
        <v>2500</v>
      </c>
      <c r="H77" s="42" t="s">
        <v>894</v>
      </c>
      <c r="I77" s="42">
        <v>1</v>
      </c>
      <c r="J77" s="45">
        <f>G77*I77*0.001</f>
        <v>2.5</v>
      </c>
      <c r="K77" s="45" t="s">
        <v>886</v>
      </c>
      <c r="L77" s="49">
        <f>VLOOKUP(F77,BM!$A$2:$X$57,20,FALSE)</f>
        <v>0.5</v>
      </c>
      <c r="M77" s="49"/>
      <c r="N77" s="46">
        <f>J77*L77</f>
        <v>1.25</v>
      </c>
      <c r="O77" s="46">
        <v>1</v>
      </c>
      <c r="P77" s="46">
        <f>N77+O77</f>
        <v>2.25</v>
      </c>
    </row>
    <row r="78" spans="3:16" ht="18.75" customHeight="1">
      <c r="C78" s="40" t="s">
        <v>896</v>
      </c>
      <c r="D78" s="40" t="s">
        <v>875</v>
      </c>
      <c r="E78" s="41"/>
      <c r="F78" s="42">
        <v>12</v>
      </c>
      <c r="G78" s="44">
        <v>2500</v>
      </c>
      <c r="H78" s="42" t="s">
        <v>894</v>
      </c>
      <c r="I78" s="42">
        <v>1</v>
      </c>
      <c r="J78" s="45">
        <f>G78*I78*0.001</f>
        <v>2.5</v>
      </c>
      <c r="K78" s="45" t="s">
        <v>886</v>
      </c>
      <c r="L78" s="49">
        <f>VLOOKUP(F78,BM!$A$2:$X$57,20,FALSE)</f>
        <v>0.5</v>
      </c>
      <c r="M78" s="49"/>
      <c r="N78" s="46">
        <f>J78*L78</f>
        <v>1.25</v>
      </c>
      <c r="O78" s="46">
        <v>1</v>
      </c>
      <c r="P78" s="46">
        <f>N78+O78</f>
        <v>2.25</v>
      </c>
    </row>
    <row r="79" spans="3:16" ht="18.75" customHeight="1">
      <c r="C79" s="40" t="s">
        <v>896</v>
      </c>
      <c r="D79" s="40" t="s">
        <v>875</v>
      </c>
      <c r="E79" s="41"/>
      <c r="F79" s="42">
        <v>12</v>
      </c>
      <c r="G79" s="44">
        <v>2000</v>
      </c>
      <c r="H79" s="42" t="s">
        <v>894</v>
      </c>
      <c r="I79" s="42">
        <v>1</v>
      </c>
      <c r="J79" s="45">
        <f>G79*I79*0.001</f>
        <v>2</v>
      </c>
      <c r="K79" s="45" t="s">
        <v>886</v>
      </c>
      <c r="L79" s="49">
        <f>VLOOKUP(F79,BM!$A$2:$X$57,20,FALSE)</f>
        <v>0.5</v>
      </c>
      <c r="M79" s="49"/>
      <c r="N79" s="46">
        <f>J79*L79</f>
        <v>1</v>
      </c>
      <c r="O79" s="46">
        <v>1</v>
      </c>
      <c r="P79" s="46">
        <f>N79+O79</f>
        <v>2</v>
      </c>
    </row>
    <row r="80" spans="3:16" ht="18.75" customHeight="1">
      <c r="C80" s="40" t="s">
        <v>896</v>
      </c>
      <c r="D80" s="40" t="s">
        <v>875</v>
      </c>
      <c r="E80" s="41"/>
      <c r="F80" s="42">
        <v>12</v>
      </c>
      <c r="G80" s="44">
        <v>1250</v>
      </c>
      <c r="H80" s="42" t="s">
        <v>894</v>
      </c>
      <c r="I80" s="42">
        <v>1</v>
      </c>
      <c r="J80" s="45">
        <f>G80*I80*0.001</f>
        <v>1.25</v>
      </c>
      <c r="K80" s="45" t="s">
        <v>886</v>
      </c>
      <c r="L80" s="49">
        <f>VLOOKUP(F80,BM!$A$2:$X$57,20,FALSE)</f>
        <v>0.5</v>
      </c>
      <c r="M80" s="49"/>
      <c r="N80" s="46">
        <f>J80*L80</f>
        <v>0.625</v>
      </c>
      <c r="O80" s="46">
        <v>1</v>
      </c>
      <c r="P80" s="46">
        <f>N80+O80</f>
        <v>1.625</v>
      </c>
    </row>
    <row r="81" spans="3:16" ht="18.75" customHeight="1">
      <c r="J81" s="47"/>
      <c r="K81" s="47"/>
      <c r="L81" s="48"/>
      <c r="M81" s="48"/>
      <c r="N81" s="48"/>
      <c r="O81" s="48"/>
      <c r="P81" s="48"/>
    </row>
    <row r="82" spans="3:16" ht="18.75" customHeight="1">
      <c r="C82" s="40" t="s">
        <v>897</v>
      </c>
      <c r="D82" s="40" t="s">
        <v>875</v>
      </c>
      <c r="E82" s="41" t="s">
        <v>581</v>
      </c>
      <c r="F82" s="42">
        <v>12</v>
      </c>
      <c r="G82" s="42" t="s">
        <v>898</v>
      </c>
      <c r="H82" s="42">
        <v>5000</v>
      </c>
      <c r="I82" s="42">
        <v>1</v>
      </c>
      <c r="J82" s="45">
        <v>1</v>
      </c>
      <c r="K82" s="45" t="s">
        <v>39</v>
      </c>
      <c r="L82" s="49">
        <f>VLOOKUP(F82,BM!$A$2:$X$57,20,FALSE)</f>
        <v>0.5</v>
      </c>
      <c r="M82" s="49"/>
      <c r="N82" s="46">
        <f>J82*L82</f>
        <v>0.5</v>
      </c>
      <c r="O82" s="46">
        <v>1</v>
      </c>
      <c r="P82" s="46">
        <f>N82+O82</f>
        <v>1.5</v>
      </c>
    </row>
    <row r="83" spans="3:16" ht="18.75" customHeight="1">
      <c r="C83" s="40" t="s">
        <v>897</v>
      </c>
      <c r="D83" s="40" t="s">
        <v>875</v>
      </c>
      <c r="E83" s="41" t="s">
        <v>581</v>
      </c>
      <c r="F83" s="42">
        <v>12</v>
      </c>
      <c r="G83" s="42" t="s">
        <v>898</v>
      </c>
      <c r="H83" s="42">
        <v>5000</v>
      </c>
      <c r="I83" s="42">
        <v>1</v>
      </c>
      <c r="J83" s="45">
        <v>1</v>
      </c>
      <c r="K83" s="45" t="s">
        <v>39</v>
      </c>
      <c r="L83" s="49">
        <f>VLOOKUP(F83,BM!$A$2:$X$57,20,FALSE)</f>
        <v>0.5</v>
      </c>
      <c r="M83" s="49"/>
      <c r="N83" s="46">
        <f>J83*L83</f>
        <v>0.5</v>
      </c>
      <c r="O83" s="46">
        <v>1</v>
      </c>
      <c r="P83" s="46">
        <f>N83+O83</f>
        <v>1.5</v>
      </c>
    </row>
    <row r="84" spans="3:16" ht="18.75" customHeight="1">
      <c r="C84" s="40" t="s">
        <v>897</v>
      </c>
      <c r="D84" s="40" t="s">
        <v>875</v>
      </c>
      <c r="E84" s="41" t="s">
        <v>581</v>
      </c>
      <c r="F84" s="42">
        <v>12</v>
      </c>
      <c r="G84" s="42" t="s">
        <v>898</v>
      </c>
      <c r="H84" s="42">
        <v>5000</v>
      </c>
      <c r="I84" s="42">
        <v>1</v>
      </c>
      <c r="J84" s="45">
        <v>1</v>
      </c>
      <c r="K84" s="45" t="s">
        <v>39</v>
      </c>
      <c r="L84" s="49">
        <f>VLOOKUP(F84,BM!$A$2:$X$57,20,FALSE)</f>
        <v>0.5</v>
      </c>
      <c r="M84" s="49"/>
      <c r="N84" s="46">
        <f>J84*L84</f>
        <v>0.5</v>
      </c>
      <c r="O84" s="46">
        <v>1</v>
      </c>
      <c r="P84" s="46">
        <f>N84+O84</f>
        <v>1.5</v>
      </c>
    </row>
    <row r="85" spans="3:16" ht="18.75" customHeight="1">
      <c r="C85" s="40" t="s">
        <v>897</v>
      </c>
      <c r="D85" s="40" t="s">
        <v>875</v>
      </c>
      <c r="E85" s="41" t="s">
        <v>581</v>
      </c>
      <c r="F85" s="42">
        <v>12</v>
      </c>
      <c r="G85" s="42" t="s">
        <v>898</v>
      </c>
      <c r="H85" s="42">
        <v>5000</v>
      </c>
      <c r="I85" s="42">
        <v>1</v>
      </c>
      <c r="J85" s="45">
        <v>1</v>
      </c>
      <c r="K85" s="45" t="s">
        <v>39</v>
      </c>
      <c r="L85" s="49">
        <f>VLOOKUP(F85,BM!$A$2:$X$57,20,FALSE)</f>
        <v>0.5</v>
      </c>
      <c r="M85" s="49"/>
      <c r="N85" s="46">
        <f>J85*L85</f>
        <v>0.5</v>
      </c>
      <c r="O85" s="46">
        <v>1</v>
      </c>
      <c r="P85" s="46">
        <f>N85+O85</f>
        <v>1.5</v>
      </c>
    </row>
    <row r="86" spans="3:16" ht="18.75" customHeight="1">
      <c r="J86" s="47"/>
      <c r="K86" s="47"/>
      <c r="L86" s="48"/>
      <c r="M86" s="48"/>
      <c r="N86" s="48"/>
      <c r="O86" s="48"/>
      <c r="P86" s="48"/>
    </row>
    <row r="87" spans="3:16" ht="18.75" customHeight="1">
      <c r="C87" s="40" t="s">
        <v>899</v>
      </c>
      <c r="D87" s="40" t="s">
        <v>875</v>
      </c>
      <c r="E87" s="41" t="s">
        <v>581</v>
      </c>
      <c r="F87" s="42">
        <v>12</v>
      </c>
      <c r="G87" s="42" t="s">
        <v>900</v>
      </c>
      <c r="H87" s="42" t="s">
        <v>901</v>
      </c>
      <c r="I87" s="42">
        <v>1</v>
      </c>
      <c r="J87" s="45">
        <v>1</v>
      </c>
      <c r="K87" s="45" t="s">
        <v>39</v>
      </c>
      <c r="L87" s="49" t="s">
        <v>902</v>
      </c>
      <c r="M87" s="49"/>
      <c r="N87" s="46"/>
      <c r="O87" s="46"/>
      <c r="P87" s="46" t="str">
        <f>L87</f>
        <v>1 DAY</v>
      </c>
    </row>
    <row r="88" spans="3:16" ht="18.75" customHeight="1">
      <c r="C88" s="40" t="s">
        <v>899</v>
      </c>
      <c r="D88" s="40" t="s">
        <v>875</v>
      </c>
      <c r="E88" s="41" t="s">
        <v>581</v>
      </c>
      <c r="F88" s="42">
        <v>12</v>
      </c>
      <c r="G88" s="42" t="s">
        <v>900</v>
      </c>
      <c r="H88" s="42" t="s">
        <v>901</v>
      </c>
      <c r="I88" s="42">
        <v>1</v>
      </c>
      <c r="J88" s="45">
        <v>1</v>
      </c>
      <c r="K88" s="45" t="s">
        <v>39</v>
      </c>
      <c r="L88" s="49" t="s">
        <v>902</v>
      </c>
      <c r="M88" s="49"/>
      <c r="N88" s="46"/>
      <c r="O88" s="46"/>
      <c r="P88" s="46" t="str">
        <f t="shared" ref="P88:P90" si="5">L88</f>
        <v>1 DAY</v>
      </c>
    </row>
    <row r="89" spans="3:16" ht="18.75" customHeight="1">
      <c r="C89" s="40" t="s">
        <v>899</v>
      </c>
      <c r="D89" s="40" t="s">
        <v>875</v>
      </c>
      <c r="E89" s="41" t="s">
        <v>581</v>
      </c>
      <c r="F89" s="42">
        <v>12</v>
      </c>
      <c r="G89" s="42" t="s">
        <v>900</v>
      </c>
      <c r="H89" s="42" t="s">
        <v>903</v>
      </c>
      <c r="I89" s="42">
        <v>1</v>
      </c>
      <c r="J89" s="45">
        <v>1</v>
      </c>
      <c r="K89" s="45" t="s">
        <v>39</v>
      </c>
      <c r="L89" s="49" t="s">
        <v>902</v>
      </c>
      <c r="M89" s="49"/>
      <c r="N89" s="46"/>
      <c r="O89" s="46"/>
      <c r="P89" s="46" t="str">
        <f t="shared" si="5"/>
        <v>1 DAY</v>
      </c>
    </row>
    <row r="90" spans="3:16" ht="18.75" customHeight="1">
      <c r="C90" s="40" t="s">
        <v>899</v>
      </c>
      <c r="D90" s="40" t="s">
        <v>875</v>
      </c>
      <c r="E90" s="41" t="s">
        <v>581</v>
      </c>
      <c r="F90" s="42">
        <v>12</v>
      </c>
      <c r="G90" s="42" t="s">
        <v>900</v>
      </c>
      <c r="H90" s="42" t="s">
        <v>904</v>
      </c>
      <c r="I90" s="42">
        <v>1</v>
      </c>
      <c r="J90" s="45">
        <v>1</v>
      </c>
      <c r="K90" s="45" t="s">
        <v>39</v>
      </c>
      <c r="L90" s="49" t="s">
        <v>902</v>
      </c>
      <c r="M90" s="49"/>
      <c r="N90" s="46"/>
      <c r="O90" s="46"/>
      <c r="P90" s="46" t="str">
        <f t="shared" si="5"/>
        <v>1 DAY</v>
      </c>
    </row>
    <row r="91" spans="3:16" ht="18.75" customHeight="1">
      <c r="J91" s="47"/>
      <c r="K91" s="47"/>
      <c r="L91" s="48"/>
      <c r="M91" s="48"/>
      <c r="N91" s="48"/>
      <c r="O91" s="48"/>
      <c r="P91" s="48"/>
    </row>
    <row r="92" spans="3:16" ht="18.75" customHeight="1">
      <c r="C92" s="40" t="s">
        <v>905</v>
      </c>
      <c r="D92" s="40" t="s">
        <v>875</v>
      </c>
      <c r="E92" s="41" t="s">
        <v>581</v>
      </c>
      <c r="F92" s="42">
        <v>24</v>
      </c>
      <c r="G92" s="42">
        <v>2500</v>
      </c>
      <c r="H92" s="44">
        <v>4945</v>
      </c>
      <c r="I92" s="42">
        <v>1</v>
      </c>
      <c r="J92" s="45">
        <f>H92*0.001*I92</f>
        <v>4.9450000000000003</v>
      </c>
      <c r="K92" s="45" t="s">
        <v>886</v>
      </c>
      <c r="L92" s="49">
        <v>1</v>
      </c>
      <c r="M92" s="49"/>
      <c r="N92" s="46">
        <f>J92*L92</f>
        <v>4.9450000000000003</v>
      </c>
      <c r="O92" s="46">
        <v>1</v>
      </c>
      <c r="P92" s="46">
        <f>N92+O92</f>
        <v>5.9450000000000003</v>
      </c>
    </row>
    <row r="93" spans="3:16" ht="18.75" customHeight="1">
      <c r="C93" s="40" t="s">
        <v>905</v>
      </c>
      <c r="D93" s="40" t="s">
        <v>875</v>
      </c>
      <c r="E93" s="41" t="s">
        <v>581</v>
      </c>
      <c r="F93" s="42">
        <v>24</v>
      </c>
      <c r="G93" s="42">
        <v>2500</v>
      </c>
      <c r="H93" s="44">
        <v>4945</v>
      </c>
      <c r="I93" s="42">
        <v>1</v>
      </c>
      <c r="J93" s="45">
        <f t="shared" ref="J93:J95" si="6">H93*0.001*I93</f>
        <v>4.9450000000000003</v>
      </c>
      <c r="K93" s="45" t="s">
        <v>886</v>
      </c>
      <c r="L93" s="49">
        <v>1</v>
      </c>
      <c r="M93" s="49"/>
      <c r="N93" s="46">
        <f>J93*L93</f>
        <v>4.9450000000000003</v>
      </c>
      <c r="O93" s="46">
        <v>1</v>
      </c>
      <c r="P93" s="46">
        <f>N93+O93</f>
        <v>5.9450000000000003</v>
      </c>
    </row>
    <row r="94" spans="3:16" ht="18.75" customHeight="1">
      <c r="C94" s="40" t="s">
        <v>905</v>
      </c>
      <c r="D94" s="40" t="s">
        <v>875</v>
      </c>
      <c r="E94" s="41" t="s">
        <v>581</v>
      </c>
      <c r="F94" s="42">
        <v>24</v>
      </c>
      <c r="G94" s="42">
        <v>2000</v>
      </c>
      <c r="H94" s="44">
        <v>4945</v>
      </c>
      <c r="I94" s="42">
        <v>1</v>
      </c>
      <c r="J94" s="45">
        <f t="shared" si="6"/>
        <v>4.9450000000000003</v>
      </c>
      <c r="K94" s="45" t="s">
        <v>886</v>
      </c>
      <c r="L94" s="49">
        <v>1</v>
      </c>
      <c r="M94" s="49"/>
      <c r="N94" s="46">
        <f>J94*L94</f>
        <v>4.9450000000000003</v>
      </c>
      <c r="O94" s="46">
        <v>1</v>
      </c>
      <c r="P94" s="46">
        <f>N94+O94</f>
        <v>5.9450000000000003</v>
      </c>
    </row>
    <row r="95" spans="3:16" ht="18.75" customHeight="1">
      <c r="C95" s="40" t="s">
        <v>905</v>
      </c>
      <c r="D95" s="40" t="s">
        <v>875</v>
      </c>
      <c r="E95" s="41" t="s">
        <v>581</v>
      </c>
      <c r="F95" s="42">
        <v>24</v>
      </c>
      <c r="G95" s="42">
        <v>1000</v>
      </c>
      <c r="H95" s="44">
        <v>4945</v>
      </c>
      <c r="I95" s="42">
        <v>1</v>
      </c>
      <c r="J95" s="45">
        <f t="shared" si="6"/>
        <v>4.9450000000000003</v>
      </c>
      <c r="K95" s="45" t="s">
        <v>886</v>
      </c>
      <c r="L95" s="49">
        <v>1</v>
      </c>
      <c r="M95" s="49"/>
      <c r="N95" s="46">
        <f>J95*L95</f>
        <v>4.9450000000000003</v>
      </c>
      <c r="O95" s="46">
        <v>1</v>
      </c>
      <c r="P95" s="46">
        <f>N95+O95</f>
        <v>5.9450000000000003</v>
      </c>
    </row>
    <row r="96" spans="3:16" ht="18.75" customHeight="1">
      <c r="J96" s="47"/>
      <c r="K96" s="47"/>
      <c r="L96" s="48"/>
      <c r="M96" s="48"/>
      <c r="N96" s="48"/>
      <c r="O96" s="48"/>
      <c r="P96" s="48"/>
    </row>
    <row r="97" spans="3:16" ht="18.75" customHeight="1">
      <c r="C97" s="40" t="s">
        <v>906</v>
      </c>
      <c r="D97" s="40" t="s">
        <v>875</v>
      </c>
      <c r="E97" s="41"/>
      <c r="F97" s="42">
        <v>18</v>
      </c>
      <c r="G97" s="42">
        <v>2500</v>
      </c>
      <c r="H97" s="44">
        <v>4945</v>
      </c>
      <c r="I97" s="42">
        <v>1</v>
      </c>
      <c r="J97" s="45">
        <f>H97/1000</f>
        <v>4.9450000000000003</v>
      </c>
      <c r="K97" s="45" t="s">
        <v>886</v>
      </c>
      <c r="L97" s="49">
        <f>VLOOKUP(F97,BM!$A$2:$X$57,16,FALSE)</f>
        <v>1</v>
      </c>
      <c r="M97" s="49"/>
      <c r="N97" s="46">
        <f>J97*L97</f>
        <v>4.9450000000000003</v>
      </c>
      <c r="O97" s="46">
        <v>1</v>
      </c>
      <c r="P97" s="46">
        <f>N97+O97</f>
        <v>5.9450000000000003</v>
      </c>
    </row>
    <row r="98" spans="3:16" ht="18.75" customHeight="1">
      <c r="C98" s="40" t="s">
        <v>907</v>
      </c>
      <c r="D98" s="40" t="s">
        <v>875</v>
      </c>
      <c r="E98" s="41"/>
      <c r="F98" s="42">
        <v>18</v>
      </c>
      <c r="G98" s="42">
        <v>2500</v>
      </c>
      <c r="H98" s="44">
        <v>4945</v>
      </c>
      <c r="I98" s="42">
        <v>1</v>
      </c>
      <c r="J98" s="45">
        <f>H98/1000</f>
        <v>4.9450000000000003</v>
      </c>
      <c r="K98" s="45" t="s">
        <v>886</v>
      </c>
      <c r="L98" s="49">
        <f>VLOOKUP(F98,BM!$A$2:$X$57,16,FALSE)</f>
        <v>1</v>
      </c>
      <c r="M98" s="49"/>
      <c r="N98" s="46">
        <f>J98*L98</f>
        <v>4.9450000000000003</v>
      </c>
      <c r="O98" s="46">
        <v>1</v>
      </c>
      <c r="P98" s="46">
        <f>N98+O98</f>
        <v>5.9450000000000003</v>
      </c>
    </row>
    <row r="99" spans="3:16" ht="18.75" customHeight="1">
      <c r="J99" s="47"/>
      <c r="K99" s="47"/>
      <c r="L99" s="48"/>
      <c r="M99" s="48"/>
      <c r="N99" s="48"/>
      <c r="O99" s="48"/>
      <c r="P99" s="48"/>
    </row>
    <row r="100" spans="3:16" ht="18.75" customHeight="1">
      <c r="C100" s="37" t="s">
        <v>866</v>
      </c>
      <c r="D100" s="38" t="s">
        <v>867</v>
      </c>
      <c r="E100" s="38"/>
      <c r="F100" s="39" t="s">
        <v>2</v>
      </c>
      <c r="G100" s="39" t="s">
        <v>908</v>
      </c>
      <c r="H100" s="39" t="s">
        <v>909</v>
      </c>
      <c r="I100" s="39" t="s">
        <v>4</v>
      </c>
      <c r="J100" s="39" t="s">
        <v>870</v>
      </c>
      <c r="K100" s="39" t="s">
        <v>5</v>
      </c>
      <c r="L100" s="39" t="s">
        <v>871</v>
      </c>
      <c r="M100" s="39" t="s">
        <v>5</v>
      </c>
      <c r="N100" s="39" t="s">
        <v>870</v>
      </c>
      <c r="O100" s="39" t="s">
        <v>872</v>
      </c>
      <c r="P100" s="39" t="s">
        <v>873</v>
      </c>
    </row>
    <row r="101" spans="3:16" ht="18.75" customHeight="1">
      <c r="C101" s="40" t="s">
        <v>910</v>
      </c>
      <c r="D101" s="40" t="s">
        <v>875</v>
      </c>
      <c r="E101" s="41"/>
      <c r="F101" s="42">
        <v>18</v>
      </c>
      <c r="G101" s="42">
        <v>1500</v>
      </c>
      <c r="H101" s="44">
        <v>2500</v>
      </c>
      <c r="I101" s="42">
        <v>1</v>
      </c>
      <c r="J101" s="45">
        <f>(G101+F101)*3.142/1000</f>
        <v>4.7695559999999997</v>
      </c>
      <c r="K101" s="45" t="s">
        <v>886</v>
      </c>
      <c r="L101" s="49">
        <f>VLOOKUP(F101,BM!$A$2:$X$57,12,FALSE)</f>
        <v>4.9000000000000004</v>
      </c>
      <c r="M101" s="49" t="s">
        <v>911</v>
      </c>
      <c r="N101" s="46">
        <f>J101*L101</f>
        <v>23.3708244</v>
      </c>
      <c r="O101" s="46">
        <v>1</v>
      </c>
      <c r="P101" s="46">
        <f>N101+O101</f>
        <v>24.3708244</v>
      </c>
    </row>
    <row r="102" spans="3:16" ht="18.75" customHeight="1">
      <c r="C102" s="40" t="s">
        <v>912</v>
      </c>
      <c r="D102" s="40" t="s">
        <v>875</v>
      </c>
      <c r="E102" s="41"/>
      <c r="F102" s="42">
        <v>18</v>
      </c>
      <c r="G102" s="42">
        <v>1500</v>
      </c>
      <c r="H102" s="44">
        <v>2500</v>
      </c>
      <c r="I102" s="42">
        <v>1</v>
      </c>
      <c r="J102" s="45">
        <f>(G102+F102)*3.142/1000</f>
        <v>4.7695559999999997</v>
      </c>
      <c r="K102" s="45" t="s">
        <v>886</v>
      </c>
      <c r="L102" s="49">
        <f>VLOOKUP(F102,BM!$A$2:$X$57,12,FALSE)</f>
        <v>4.9000000000000004</v>
      </c>
      <c r="M102" s="49" t="s">
        <v>911</v>
      </c>
      <c r="N102" s="46">
        <f>J102*L102</f>
        <v>23.3708244</v>
      </c>
      <c r="O102" s="46">
        <v>1</v>
      </c>
      <c r="P102" s="46">
        <f>N102+O102</f>
        <v>24.3708244</v>
      </c>
    </row>
    <row r="103" spans="3:16" ht="18.75" customHeight="1">
      <c r="J103" s="47"/>
      <c r="K103" s="47"/>
      <c r="L103" s="48"/>
      <c r="M103" s="48"/>
      <c r="N103" s="48"/>
      <c r="O103" s="48"/>
      <c r="P103" s="48"/>
    </row>
    <row r="104" spans="3:16" ht="18.75" customHeight="1">
      <c r="C104" s="37" t="s">
        <v>866</v>
      </c>
      <c r="D104" s="38" t="s">
        <v>867</v>
      </c>
      <c r="E104" s="38"/>
      <c r="F104" s="39" t="s">
        <v>2</v>
      </c>
      <c r="G104" s="39" t="s">
        <v>908</v>
      </c>
      <c r="H104" s="39" t="s">
        <v>909</v>
      </c>
      <c r="I104" s="39" t="s">
        <v>4</v>
      </c>
      <c r="J104" s="39" t="s">
        <v>870</v>
      </c>
      <c r="K104" s="39" t="s">
        <v>5</v>
      </c>
      <c r="L104" s="39" t="s">
        <v>871</v>
      </c>
      <c r="M104" s="39" t="s">
        <v>5</v>
      </c>
      <c r="N104" s="39" t="s">
        <v>870</v>
      </c>
      <c r="O104" s="39" t="s">
        <v>872</v>
      </c>
      <c r="P104" s="39" t="s">
        <v>873</v>
      </c>
    </row>
    <row r="105" spans="3:16" ht="18.75" customHeight="1">
      <c r="C105" s="40" t="s">
        <v>913</v>
      </c>
      <c r="D105" s="40" t="s">
        <v>875</v>
      </c>
      <c r="E105" s="41"/>
      <c r="F105" s="42">
        <v>16</v>
      </c>
      <c r="G105" s="42">
        <v>1500</v>
      </c>
      <c r="H105" s="42"/>
      <c r="I105" s="42">
        <v>1</v>
      </c>
      <c r="J105" s="45">
        <f>(G105+F105)*3.142/1000</f>
        <v>4.7632719999999997</v>
      </c>
      <c r="K105" s="45" t="s">
        <v>886</v>
      </c>
      <c r="L105" s="49">
        <f>VLOOKUP(F105,BM!$A$2:$X$57,18,FALSE)</f>
        <v>1</v>
      </c>
      <c r="M105" s="49"/>
      <c r="N105" s="46">
        <f>J105*L105</f>
        <v>4.7632719999999997</v>
      </c>
      <c r="O105" s="46">
        <v>1</v>
      </c>
      <c r="P105" s="46">
        <f>N105+O105</f>
        <v>5.7632719999999997</v>
      </c>
    </row>
    <row r="106" spans="3:16" ht="18.75" customHeight="1">
      <c r="C106" s="40" t="s">
        <v>914</v>
      </c>
      <c r="D106" s="40" t="s">
        <v>875</v>
      </c>
      <c r="E106" s="41"/>
      <c r="F106" s="42">
        <v>16</v>
      </c>
      <c r="G106" s="42">
        <v>1500</v>
      </c>
      <c r="H106" s="42"/>
      <c r="I106" s="42">
        <v>1</v>
      </c>
      <c r="J106" s="45">
        <f>(G106+F106)*3.142/1000</f>
        <v>4.7632719999999997</v>
      </c>
      <c r="K106" s="45" t="s">
        <v>886</v>
      </c>
      <c r="L106" s="49">
        <f>VLOOKUP(F106,BM!$A$2:$X$57,18,FALSE)</f>
        <v>1</v>
      </c>
      <c r="M106" s="49"/>
      <c r="N106" s="46">
        <f>J106*L106</f>
        <v>4.7632719999999997</v>
      </c>
      <c r="O106" s="46">
        <v>1</v>
      </c>
      <c r="P106" s="46">
        <f>N106+O106</f>
        <v>5.7632719999999997</v>
      </c>
    </row>
    <row r="107" spans="3:16" ht="18.75" customHeight="1">
      <c r="J107" s="47"/>
      <c r="K107" s="47"/>
      <c r="L107" s="48"/>
      <c r="M107" s="48"/>
      <c r="N107" s="48"/>
      <c r="O107" s="48"/>
      <c r="P107" s="48"/>
    </row>
    <row r="108" spans="3:16" ht="18.75" customHeight="1">
      <c r="C108" s="37" t="s">
        <v>866</v>
      </c>
      <c r="D108" s="38" t="s">
        <v>867</v>
      </c>
      <c r="E108" s="38"/>
      <c r="F108" s="39" t="s">
        <v>2</v>
      </c>
      <c r="G108" s="39" t="s">
        <v>908</v>
      </c>
      <c r="H108" s="39" t="s">
        <v>909</v>
      </c>
      <c r="I108" s="39" t="s">
        <v>4</v>
      </c>
      <c r="J108" s="39" t="s">
        <v>870</v>
      </c>
      <c r="K108" s="39" t="s">
        <v>5</v>
      </c>
      <c r="L108" s="39" t="s">
        <v>871</v>
      </c>
      <c r="M108" s="39" t="s">
        <v>5</v>
      </c>
      <c r="N108" s="39" t="s">
        <v>870</v>
      </c>
      <c r="O108" s="39" t="s">
        <v>872</v>
      </c>
      <c r="P108" s="39" t="s">
        <v>873</v>
      </c>
    </row>
    <row r="109" spans="3:16" ht="18.75" customHeight="1">
      <c r="C109" s="40" t="s">
        <v>915</v>
      </c>
      <c r="D109" s="40" t="s">
        <v>875</v>
      </c>
      <c r="E109" s="41"/>
      <c r="F109" s="42">
        <f>6</f>
        <v>6</v>
      </c>
      <c r="G109" s="42">
        <v>1500</v>
      </c>
      <c r="H109" s="42"/>
      <c r="I109" s="42">
        <v>1</v>
      </c>
      <c r="J109" s="45">
        <f>(G109+F109)*3.142/1000</f>
        <v>4.7318519999999999</v>
      </c>
      <c r="K109" s="45" t="s">
        <v>886</v>
      </c>
      <c r="L109" s="49">
        <f>VLOOKUP(F109,BM!$A$2:$X$57,12,FALSE)</f>
        <v>0.9</v>
      </c>
      <c r="M109" s="49"/>
      <c r="N109" s="46">
        <f>J109*L109</f>
        <v>4.2586668000000003</v>
      </c>
      <c r="O109" s="46">
        <v>1</v>
      </c>
      <c r="P109" s="46">
        <f>N109+O109</f>
        <v>5.2586668000000003</v>
      </c>
    </row>
    <row r="110" spans="3:16" ht="18.75" customHeight="1">
      <c r="C110" s="40" t="s">
        <v>916</v>
      </c>
      <c r="D110" s="40" t="s">
        <v>875</v>
      </c>
      <c r="E110" s="41"/>
      <c r="F110" s="42">
        <v>6</v>
      </c>
      <c r="G110" s="42">
        <v>1500</v>
      </c>
      <c r="H110" s="42"/>
      <c r="I110" s="42">
        <v>1</v>
      </c>
      <c r="J110" s="45">
        <f>(G110+F110)*3.142/1000</f>
        <v>4.7318519999999999</v>
      </c>
      <c r="K110" s="45" t="s">
        <v>886</v>
      </c>
      <c r="L110" s="49">
        <f>VLOOKUP(F110,BM!$A$2:$X$57,12,FALSE)</f>
        <v>0.9</v>
      </c>
      <c r="M110" s="49"/>
      <c r="N110" s="46">
        <f>J110*L110</f>
        <v>4.2586668000000003</v>
      </c>
      <c r="O110" s="46">
        <v>1</v>
      </c>
      <c r="P110" s="46">
        <f>N110+O110</f>
        <v>5.2586668000000003</v>
      </c>
    </row>
    <row r="111" spans="3:16" ht="18.75" customHeight="1">
      <c r="J111" s="47"/>
      <c r="K111" s="47"/>
      <c r="L111" s="48"/>
      <c r="M111" s="48"/>
      <c r="N111" s="48"/>
      <c r="O111" s="48"/>
      <c r="P111" s="48"/>
    </row>
    <row r="112" spans="3:16" ht="18.75" customHeight="1">
      <c r="C112" s="37" t="s">
        <v>866</v>
      </c>
      <c r="D112" s="38" t="s">
        <v>867</v>
      </c>
      <c r="E112" s="38"/>
      <c r="F112" s="39" t="s">
        <v>2</v>
      </c>
      <c r="G112" s="39" t="s">
        <v>908</v>
      </c>
      <c r="H112" s="39" t="s">
        <v>909</v>
      </c>
      <c r="I112" s="39" t="s">
        <v>4</v>
      </c>
      <c r="J112" s="39" t="s">
        <v>870</v>
      </c>
      <c r="K112" s="39" t="s">
        <v>5</v>
      </c>
      <c r="L112" s="39" t="s">
        <v>871</v>
      </c>
      <c r="M112" s="39" t="s">
        <v>5</v>
      </c>
      <c r="N112" s="39" t="s">
        <v>870</v>
      </c>
      <c r="O112" s="39" t="s">
        <v>872</v>
      </c>
      <c r="P112" s="39" t="s">
        <v>873</v>
      </c>
    </row>
    <row r="113" spans="3:16" ht="18.75" customHeight="1">
      <c r="C113" s="40" t="s">
        <v>917</v>
      </c>
      <c r="D113" s="40" t="s">
        <v>875</v>
      </c>
      <c r="E113" s="41"/>
      <c r="F113" s="42">
        <v>18</v>
      </c>
      <c r="G113" s="44">
        <v>1500</v>
      </c>
      <c r="H113" s="42"/>
      <c r="I113" s="42">
        <v>1</v>
      </c>
      <c r="J113" s="45">
        <f>G113*3.142/1000</f>
        <v>4.7130000000000001</v>
      </c>
      <c r="K113" s="45" t="s">
        <v>886</v>
      </c>
      <c r="L113" s="49">
        <f>VLOOKUP(F113,BM!$A$2:$X$57,16,FALSE)</f>
        <v>1</v>
      </c>
      <c r="M113" s="49"/>
      <c r="N113" s="46">
        <f t="shared" ref="N113:N118" si="7">J113*L113</f>
        <v>4.7130000000000001</v>
      </c>
      <c r="O113" s="46">
        <v>1</v>
      </c>
      <c r="P113" s="46">
        <f t="shared" ref="P113:P118" si="8">N113+O113</f>
        <v>5.7130000000000001</v>
      </c>
    </row>
    <row r="114" spans="3:16" ht="18.75" customHeight="1">
      <c r="C114" s="40" t="s">
        <v>918</v>
      </c>
      <c r="D114" s="40" t="s">
        <v>875</v>
      </c>
      <c r="E114" s="41"/>
      <c r="F114" s="42">
        <v>12</v>
      </c>
      <c r="G114" s="44">
        <v>1500</v>
      </c>
      <c r="H114" s="42"/>
      <c r="I114" s="42">
        <v>1</v>
      </c>
      <c r="J114" s="45">
        <f t="shared" ref="J114:J118" si="9">G114*3.142/1000</f>
        <v>4.7130000000000001</v>
      </c>
      <c r="K114" s="45" t="s">
        <v>886</v>
      </c>
      <c r="L114" s="49">
        <f>VLOOKUP(F114,BM!$A$2:$X$57,12,FALSE)</f>
        <v>2.5</v>
      </c>
      <c r="M114" s="49"/>
      <c r="N114" s="46">
        <f t="shared" si="7"/>
        <v>11.782500000000001</v>
      </c>
      <c r="O114" s="46">
        <v>1</v>
      </c>
      <c r="P114" s="46">
        <f t="shared" si="8"/>
        <v>12.782500000000001</v>
      </c>
    </row>
    <row r="115" spans="3:16" ht="18.75" customHeight="1">
      <c r="C115" s="40" t="s">
        <v>919</v>
      </c>
      <c r="D115" s="40" t="s">
        <v>875</v>
      </c>
      <c r="E115" s="41"/>
      <c r="F115" s="42">
        <v>18</v>
      </c>
      <c r="G115" s="44">
        <v>1500</v>
      </c>
      <c r="H115" s="42"/>
      <c r="I115" s="42">
        <v>1</v>
      </c>
      <c r="J115" s="45">
        <f t="shared" si="9"/>
        <v>4.7130000000000001</v>
      </c>
      <c r="K115" s="45" t="s">
        <v>886</v>
      </c>
      <c r="L115" s="49">
        <f>VLOOKUP(F115,BM!$A$2:$X$57,18,FALSE)</f>
        <v>1</v>
      </c>
      <c r="M115" s="49"/>
      <c r="N115" s="46">
        <f t="shared" si="7"/>
        <v>4.7130000000000001</v>
      </c>
      <c r="O115" s="46">
        <v>1</v>
      </c>
      <c r="P115" s="46">
        <f t="shared" si="8"/>
        <v>5.7130000000000001</v>
      </c>
    </row>
    <row r="116" spans="3:16" ht="18.75" customHeight="1">
      <c r="C116" s="40" t="s">
        <v>920</v>
      </c>
      <c r="D116" s="40" t="s">
        <v>875</v>
      </c>
      <c r="E116" s="41"/>
      <c r="F116" s="42">
        <v>6</v>
      </c>
      <c r="G116" s="44">
        <v>1500</v>
      </c>
      <c r="H116" s="42"/>
      <c r="I116" s="42">
        <v>1</v>
      </c>
      <c r="J116" s="45">
        <f t="shared" si="9"/>
        <v>4.7130000000000001</v>
      </c>
      <c r="K116" s="45" t="s">
        <v>886</v>
      </c>
      <c r="L116" s="49">
        <f>VLOOKUP(F116,BM!$A$2:$X$57,12,FALSE)</f>
        <v>0.9</v>
      </c>
      <c r="M116" s="49"/>
      <c r="N116" s="46">
        <f t="shared" si="7"/>
        <v>4.2416999999999998</v>
      </c>
      <c r="O116" s="46">
        <v>1</v>
      </c>
      <c r="P116" s="46">
        <f t="shared" si="8"/>
        <v>5.2416999999999998</v>
      </c>
    </row>
    <row r="117" spans="3:16" ht="18.75" customHeight="1">
      <c r="C117" s="40" t="s">
        <v>921</v>
      </c>
      <c r="D117" s="40" t="s">
        <v>875</v>
      </c>
      <c r="E117" s="41"/>
      <c r="F117" s="42">
        <v>18</v>
      </c>
      <c r="G117" s="44">
        <v>1500</v>
      </c>
      <c r="H117" s="42"/>
      <c r="I117" s="42">
        <v>1</v>
      </c>
      <c r="J117" s="45">
        <f t="shared" si="9"/>
        <v>4.7130000000000001</v>
      </c>
      <c r="K117" s="45" t="s">
        <v>886</v>
      </c>
      <c r="L117" s="49">
        <f>VLOOKUP(F117,BM!$A$2:$X$57,20,FALSE)</f>
        <v>0.5</v>
      </c>
      <c r="M117" s="49"/>
      <c r="N117" s="46">
        <f t="shared" si="7"/>
        <v>2.3565</v>
      </c>
      <c r="O117" s="46">
        <v>1</v>
      </c>
      <c r="P117" s="46">
        <f t="shared" si="8"/>
        <v>3.3565</v>
      </c>
    </row>
    <row r="118" spans="3:16" ht="18.75" customHeight="1">
      <c r="C118" s="40" t="s">
        <v>922</v>
      </c>
      <c r="D118" s="40" t="s">
        <v>875</v>
      </c>
      <c r="E118" s="41" t="s">
        <v>581</v>
      </c>
      <c r="F118" s="42">
        <v>18</v>
      </c>
      <c r="G118" s="44">
        <v>1500</v>
      </c>
      <c r="H118" s="42"/>
      <c r="I118" s="42">
        <v>1</v>
      </c>
      <c r="J118" s="45">
        <f t="shared" si="9"/>
        <v>4.7130000000000001</v>
      </c>
      <c r="K118" s="45" t="s">
        <v>564</v>
      </c>
      <c r="L118" s="49">
        <v>1</v>
      </c>
      <c r="M118" s="49"/>
      <c r="N118" s="46">
        <f t="shared" si="7"/>
        <v>4.7130000000000001</v>
      </c>
      <c r="O118" s="46"/>
      <c r="P118" s="46">
        <f t="shared" si="8"/>
        <v>4.7130000000000001</v>
      </c>
    </row>
    <row r="119" spans="3:16" ht="18.75" customHeight="1">
      <c r="J119" s="47"/>
      <c r="K119" s="47"/>
      <c r="L119" s="48"/>
      <c r="M119" s="48"/>
      <c r="N119" s="48"/>
      <c r="O119" s="48"/>
      <c r="P119" s="48"/>
    </row>
    <row r="120" spans="3:16" ht="18.75" customHeight="1">
      <c r="C120" s="37" t="s">
        <v>866</v>
      </c>
      <c r="D120" s="38" t="s">
        <v>867</v>
      </c>
      <c r="E120" s="38"/>
      <c r="F120" s="39" t="s">
        <v>2</v>
      </c>
      <c r="G120" s="39" t="s">
        <v>908</v>
      </c>
      <c r="H120" s="39" t="s">
        <v>909</v>
      </c>
      <c r="I120" s="39" t="s">
        <v>4</v>
      </c>
      <c r="J120" s="39" t="s">
        <v>870</v>
      </c>
      <c r="K120" s="39" t="s">
        <v>5</v>
      </c>
      <c r="L120" s="39" t="s">
        <v>871</v>
      </c>
      <c r="M120" s="39" t="s">
        <v>5</v>
      </c>
      <c r="N120" s="39" t="s">
        <v>870</v>
      </c>
      <c r="O120" s="39" t="s">
        <v>872</v>
      </c>
      <c r="P120" s="39" t="s">
        <v>873</v>
      </c>
    </row>
    <row r="121" spans="3:16" ht="18.75" customHeight="1">
      <c r="C121" s="40" t="s">
        <v>923</v>
      </c>
      <c r="D121" s="40" t="s">
        <v>875</v>
      </c>
      <c r="E121" s="41"/>
      <c r="F121" s="42">
        <v>24</v>
      </c>
      <c r="G121" s="50">
        <v>1500</v>
      </c>
      <c r="H121" s="42"/>
      <c r="I121" s="42">
        <v>1</v>
      </c>
      <c r="J121" s="45">
        <f t="shared" ref="J121:J128" si="10">G121*3.142/1000</f>
        <v>4.7130000000000001</v>
      </c>
      <c r="K121" s="45" t="s">
        <v>249</v>
      </c>
      <c r="L121" s="49">
        <f>VLOOKUP(F121,BM!$A$2:$X$57,2,FALSE)</f>
        <v>0.1</v>
      </c>
      <c r="M121" s="49"/>
      <c r="N121" s="46">
        <f t="shared" ref="N121:N128" si="11">J121*L121</f>
        <v>0.47130000000000005</v>
      </c>
      <c r="O121" s="46">
        <v>0.5</v>
      </c>
      <c r="P121" s="46">
        <f t="shared" ref="P121:P128" si="12">N121+O121</f>
        <v>0.97130000000000005</v>
      </c>
    </row>
    <row r="122" spans="3:16" ht="18.75" customHeight="1">
      <c r="C122" s="40" t="s">
        <v>924</v>
      </c>
      <c r="D122" s="40" t="s">
        <v>875</v>
      </c>
      <c r="E122" s="41"/>
      <c r="F122" s="42">
        <v>24</v>
      </c>
      <c r="G122" s="44">
        <f t="shared" ref="G122:G129" si="13">G121</f>
        <v>1500</v>
      </c>
      <c r="H122" s="42"/>
      <c r="I122" s="42">
        <v>1</v>
      </c>
      <c r="J122" s="45">
        <f t="shared" si="10"/>
        <v>4.7130000000000001</v>
      </c>
      <c r="K122" s="45" t="s">
        <v>249</v>
      </c>
      <c r="L122" s="49">
        <f>VLOOKUP(F122,BM!$A$2:$X$57,5,FALSE)</f>
        <v>0.5</v>
      </c>
      <c r="M122" s="49"/>
      <c r="N122" s="46">
        <f t="shared" ref="N122" si="14">J122*L122</f>
        <v>2.3565</v>
      </c>
      <c r="O122" s="46">
        <v>0.5</v>
      </c>
      <c r="P122" s="46">
        <f t="shared" ref="P122" si="15">N122+O122</f>
        <v>2.8565</v>
      </c>
    </row>
    <row r="123" spans="3:16" ht="18.75" customHeight="1">
      <c r="C123" s="40" t="s">
        <v>925</v>
      </c>
      <c r="D123" s="40" t="s">
        <v>875</v>
      </c>
      <c r="E123" s="41"/>
      <c r="F123" s="42">
        <v>24</v>
      </c>
      <c r="G123" s="44">
        <f t="shared" si="13"/>
        <v>1500</v>
      </c>
      <c r="H123" s="42"/>
      <c r="I123" s="42">
        <v>2</v>
      </c>
      <c r="J123" s="45">
        <f t="shared" si="10"/>
        <v>4.7130000000000001</v>
      </c>
      <c r="K123" s="45" t="s">
        <v>249</v>
      </c>
      <c r="L123" s="49">
        <f>VLOOKUP(F123,BM!$A$2:$X$57,15,FALSE)</f>
        <v>1</v>
      </c>
      <c r="M123" s="49"/>
      <c r="N123" s="46">
        <f t="shared" si="11"/>
        <v>4.7130000000000001</v>
      </c>
      <c r="O123" s="46">
        <v>0.5</v>
      </c>
      <c r="P123" s="46">
        <f t="shared" si="12"/>
        <v>5.2130000000000001</v>
      </c>
    </row>
    <row r="124" spans="3:16" ht="18.75" customHeight="1">
      <c r="C124" s="40" t="s">
        <v>926</v>
      </c>
      <c r="D124" s="40" t="s">
        <v>875</v>
      </c>
      <c r="E124" s="41"/>
      <c r="F124" s="42">
        <v>24</v>
      </c>
      <c r="G124" s="44">
        <f t="shared" si="13"/>
        <v>1500</v>
      </c>
      <c r="H124" s="42"/>
      <c r="I124" s="42">
        <v>2</v>
      </c>
      <c r="J124" s="45">
        <f t="shared" si="10"/>
        <v>4.7130000000000001</v>
      </c>
      <c r="K124" s="45" t="s">
        <v>249</v>
      </c>
      <c r="L124" s="49">
        <f>VLOOKUP(F124,BM!$A$2:$X$57,16,FALSE)</f>
        <v>1</v>
      </c>
      <c r="M124" s="49"/>
      <c r="N124" s="46">
        <f t="shared" si="11"/>
        <v>4.7130000000000001</v>
      </c>
      <c r="O124" s="46">
        <v>0.5</v>
      </c>
      <c r="P124" s="46">
        <f t="shared" si="12"/>
        <v>5.2130000000000001</v>
      </c>
    </row>
    <row r="125" spans="3:16" ht="18.75" customHeight="1">
      <c r="C125" s="40" t="s">
        <v>927</v>
      </c>
      <c r="D125" s="40" t="s">
        <v>875</v>
      </c>
      <c r="E125" s="41"/>
      <c r="F125" s="42">
        <v>16</v>
      </c>
      <c r="G125" s="44">
        <f t="shared" si="13"/>
        <v>1500</v>
      </c>
      <c r="H125" s="42"/>
      <c r="I125" s="42">
        <v>2</v>
      </c>
      <c r="J125" s="45">
        <f t="shared" si="10"/>
        <v>4.7130000000000001</v>
      </c>
      <c r="K125" s="45" t="s">
        <v>249</v>
      </c>
      <c r="L125" s="49">
        <f>VLOOKUP(F125,BM!$A$2:$X$57,17,FALSE)</f>
        <v>4.0199999999999996</v>
      </c>
      <c r="M125" s="49"/>
      <c r="N125" s="46">
        <f t="shared" si="11"/>
        <v>18.946259999999999</v>
      </c>
      <c r="O125" s="46">
        <v>0.5</v>
      </c>
      <c r="P125" s="46">
        <f t="shared" si="12"/>
        <v>19.446259999999999</v>
      </c>
    </row>
    <row r="126" spans="3:16" ht="18.75" customHeight="1">
      <c r="C126" s="40" t="s">
        <v>928</v>
      </c>
      <c r="D126" s="40" t="s">
        <v>875</v>
      </c>
      <c r="E126" s="41"/>
      <c r="F126" s="42">
        <v>16</v>
      </c>
      <c r="G126" s="44">
        <f t="shared" si="13"/>
        <v>1500</v>
      </c>
      <c r="H126" s="42"/>
      <c r="I126" s="42">
        <v>2</v>
      </c>
      <c r="J126" s="45">
        <f t="shared" si="10"/>
        <v>4.7130000000000001</v>
      </c>
      <c r="K126" s="45" t="s">
        <v>249</v>
      </c>
      <c r="L126" s="49">
        <f>VLOOKUP(F126,BM!$A$2:$X$57,18,FALSE)</f>
        <v>1</v>
      </c>
      <c r="M126" s="49"/>
      <c r="N126" s="46">
        <f t="shared" si="11"/>
        <v>4.7130000000000001</v>
      </c>
      <c r="O126" s="46">
        <v>0.5</v>
      </c>
      <c r="P126" s="46">
        <f t="shared" si="12"/>
        <v>5.2130000000000001</v>
      </c>
    </row>
    <row r="127" spans="3:16" ht="18.75" customHeight="1">
      <c r="C127" s="40" t="s">
        <v>929</v>
      </c>
      <c r="D127" s="40" t="s">
        <v>875</v>
      </c>
      <c r="E127" s="41"/>
      <c r="F127" s="42">
        <v>10</v>
      </c>
      <c r="G127" s="44">
        <f t="shared" si="13"/>
        <v>1500</v>
      </c>
      <c r="H127" s="42"/>
      <c r="I127" s="42">
        <v>2</v>
      </c>
      <c r="J127" s="45">
        <f t="shared" si="10"/>
        <v>4.7130000000000001</v>
      </c>
      <c r="K127" s="45" t="s">
        <v>249</v>
      </c>
      <c r="L127" s="49">
        <f>VLOOKUP(F127,BM!$A$2:$X$57,17,FALSE)</f>
        <v>1.88</v>
      </c>
      <c r="M127" s="49"/>
      <c r="N127" s="46">
        <f t="shared" ref="N127" si="16">J127*L127</f>
        <v>8.8604399999999988</v>
      </c>
      <c r="O127" s="46">
        <v>0.5</v>
      </c>
      <c r="P127" s="46">
        <f t="shared" ref="P127" si="17">N127+O127</f>
        <v>9.3604399999999988</v>
      </c>
    </row>
    <row r="128" spans="3:16" ht="18.75" customHeight="1">
      <c r="C128" s="40" t="s">
        <v>921</v>
      </c>
      <c r="D128" s="40" t="s">
        <v>875</v>
      </c>
      <c r="E128" s="41"/>
      <c r="F128" s="42">
        <v>10</v>
      </c>
      <c r="G128" s="44">
        <f t="shared" si="13"/>
        <v>1500</v>
      </c>
      <c r="H128" s="42"/>
      <c r="I128" s="42">
        <v>2</v>
      </c>
      <c r="J128" s="45">
        <f t="shared" si="10"/>
        <v>4.7130000000000001</v>
      </c>
      <c r="K128" s="45" t="s">
        <v>249</v>
      </c>
      <c r="L128" s="49">
        <f>VLOOKUP(F128,BM!$A$2:$X$57,20,FALSE)</f>
        <v>0.5</v>
      </c>
      <c r="M128" s="49"/>
      <c r="N128" s="46">
        <f t="shared" si="11"/>
        <v>2.3565</v>
      </c>
      <c r="O128" s="46">
        <v>0.5</v>
      </c>
      <c r="P128" s="46">
        <f t="shared" si="12"/>
        <v>2.8565</v>
      </c>
    </row>
    <row r="129" spans="3:16" ht="18.75" customHeight="1">
      <c r="C129" s="40" t="s">
        <v>922</v>
      </c>
      <c r="D129" s="40" t="s">
        <v>875</v>
      </c>
      <c r="E129" s="41" t="s">
        <v>581</v>
      </c>
      <c r="F129" s="42">
        <v>10</v>
      </c>
      <c r="G129" s="44">
        <f t="shared" si="13"/>
        <v>1500</v>
      </c>
      <c r="H129" s="42"/>
      <c r="I129" s="42">
        <v>2</v>
      </c>
      <c r="J129" s="45"/>
      <c r="K129" s="45"/>
      <c r="L129" s="49" t="s">
        <v>902</v>
      </c>
      <c r="M129" s="49"/>
      <c r="N129" s="46"/>
      <c r="O129" s="46"/>
      <c r="P129" s="46" t="str">
        <f>L129</f>
        <v>1 DAY</v>
      </c>
    </row>
    <row r="130" spans="3:16" ht="18.75" customHeight="1">
      <c r="J130" s="47"/>
      <c r="K130" s="47"/>
      <c r="L130" s="48"/>
      <c r="M130" s="48"/>
      <c r="N130" s="48"/>
      <c r="O130" s="48"/>
      <c r="P130" s="48"/>
    </row>
    <row r="131" spans="3:16" ht="18.75" customHeight="1">
      <c r="C131" s="37" t="s">
        <v>866</v>
      </c>
      <c r="D131" s="38" t="s">
        <v>867</v>
      </c>
      <c r="E131" s="38"/>
      <c r="F131" s="39" t="s">
        <v>2</v>
      </c>
      <c r="G131" s="39" t="s">
        <v>908</v>
      </c>
      <c r="H131" s="39" t="s">
        <v>909</v>
      </c>
      <c r="I131" s="39" t="s">
        <v>4</v>
      </c>
      <c r="J131" s="39" t="s">
        <v>870</v>
      </c>
      <c r="K131" s="39" t="s">
        <v>5</v>
      </c>
      <c r="L131" s="39" t="s">
        <v>871</v>
      </c>
      <c r="M131" s="39" t="s">
        <v>5</v>
      </c>
      <c r="N131" s="39" t="s">
        <v>870</v>
      </c>
      <c r="O131" s="39" t="s">
        <v>872</v>
      </c>
      <c r="P131" s="39" t="s">
        <v>873</v>
      </c>
    </row>
    <row r="132" spans="3:16" ht="18.75" customHeight="1">
      <c r="C132" s="40" t="s">
        <v>930</v>
      </c>
      <c r="D132" s="40"/>
      <c r="E132" s="41" t="s">
        <v>581</v>
      </c>
      <c r="F132" s="42">
        <v>18</v>
      </c>
      <c r="G132" s="42">
        <v>1500</v>
      </c>
      <c r="H132" s="42" t="s">
        <v>931</v>
      </c>
      <c r="I132" s="42">
        <v>1</v>
      </c>
      <c r="J132" s="45">
        <v>1</v>
      </c>
      <c r="K132" s="45" t="s">
        <v>39</v>
      </c>
      <c r="L132" s="49">
        <v>4</v>
      </c>
      <c r="M132" s="49"/>
      <c r="N132" s="46">
        <f t="shared" ref="N132" si="18">J132*L132</f>
        <v>4</v>
      </c>
      <c r="O132" s="46">
        <v>1</v>
      </c>
      <c r="P132" s="46">
        <f t="shared" ref="P132:P133" si="19">N132+O132</f>
        <v>5</v>
      </c>
    </row>
    <row r="133" spans="3:16" ht="18.75" customHeight="1">
      <c r="C133" s="40" t="s">
        <v>932</v>
      </c>
      <c r="D133" s="40" t="s">
        <v>933</v>
      </c>
      <c r="E133" s="41"/>
      <c r="F133" s="42" t="s">
        <v>934</v>
      </c>
      <c r="G133" s="42" t="s">
        <v>935</v>
      </c>
      <c r="H133" s="42"/>
      <c r="I133" s="42">
        <v>3</v>
      </c>
      <c r="J133" s="45">
        <v>3</v>
      </c>
      <c r="K133" s="45" t="s">
        <v>81</v>
      </c>
      <c r="L133" s="49">
        <v>4</v>
      </c>
      <c r="M133" s="49"/>
      <c r="N133" s="46">
        <f t="shared" ref="N133" si="20">J133*L133</f>
        <v>12</v>
      </c>
      <c r="O133" s="46">
        <v>1</v>
      </c>
      <c r="P133" s="46">
        <f t="shared" si="19"/>
        <v>13</v>
      </c>
    </row>
    <row r="134" spans="3:16" ht="18.75" customHeight="1">
      <c r="C134" s="40" t="s">
        <v>936</v>
      </c>
      <c r="D134" s="40" t="s">
        <v>581</v>
      </c>
      <c r="E134" s="41"/>
      <c r="F134" s="42" t="s">
        <v>934</v>
      </c>
      <c r="G134" s="42"/>
      <c r="H134" s="42" t="s">
        <v>937</v>
      </c>
      <c r="I134" s="42">
        <v>3</v>
      </c>
      <c r="J134" s="45">
        <v>3</v>
      </c>
      <c r="K134" s="45" t="s">
        <v>564</v>
      </c>
      <c r="L134" s="49">
        <v>4</v>
      </c>
      <c r="M134" s="49"/>
      <c r="N134" s="46">
        <f t="shared" ref="N134:N139" si="21">J134*L134</f>
        <v>12</v>
      </c>
      <c r="O134" s="46">
        <v>1</v>
      </c>
      <c r="P134" s="46">
        <f t="shared" ref="P134:P139" si="22">N134+O134</f>
        <v>13</v>
      </c>
    </row>
    <row r="135" spans="3:16" ht="18.75" customHeight="1">
      <c r="C135" s="40" t="s">
        <v>938</v>
      </c>
      <c r="D135" s="40" t="s">
        <v>581</v>
      </c>
      <c r="E135" s="41"/>
      <c r="F135" s="42" t="s">
        <v>934</v>
      </c>
      <c r="G135" s="42"/>
      <c r="H135" s="42" t="s">
        <v>937</v>
      </c>
      <c r="I135" s="42">
        <v>3</v>
      </c>
      <c r="J135" s="45">
        <v>3</v>
      </c>
      <c r="K135" s="45" t="s">
        <v>81</v>
      </c>
      <c r="L135" s="49">
        <v>8</v>
      </c>
      <c r="M135" s="49"/>
      <c r="N135" s="46">
        <f t="shared" si="21"/>
        <v>24</v>
      </c>
      <c r="O135" s="46">
        <v>1</v>
      </c>
      <c r="P135" s="46">
        <f t="shared" si="22"/>
        <v>25</v>
      </c>
    </row>
    <row r="136" spans="3:16" ht="18.75" customHeight="1">
      <c r="C136" s="40" t="s">
        <v>939</v>
      </c>
      <c r="D136" s="40" t="s">
        <v>581</v>
      </c>
      <c r="E136" s="41"/>
      <c r="F136" s="42" t="s">
        <v>934</v>
      </c>
      <c r="G136" s="42"/>
      <c r="H136" s="42"/>
      <c r="I136" s="42">
        <v>2</v>
      </c>
      <c r="J136" s="45">
        <v>2</v>
      </c>
      <c r="K136" s="45" t="s">
        <v>564</v>
      </c>
      <c r="L136" s="49">
        <v>4</v>
      </c>
      <c r="M136" s="49"/>
      <c r="N136" s="46">
        <f t="shared" si="21"/>
        <v>8</v>
      </c>
      <c r="O136" s="46">
        <v>1</v>
      </c>
      <c r="P136" s="46">
        <f t="shared" si="22"/>
        <v>9</v>
      </c>
    </row>
    <row r="137" spans="3:16" ht="18.75" customHeight="1">
      <c r="C137" s="40" t="s">
        <v>940</v>
      </c>
      <c r="D137" s="40"/>
      <c r="E137" s="41"/>
      <c r="F137" s="42">
        <v>12</v>
      </c>
      <c r="G137" s="50">
        <v>1197</v>
      </c>
      <c r="H137" s="51"/>
      <c r="I137" s="42">
        <v>1</v>
      </c>
      <c r="J137" s="46">
        <f>G137*3.142*0.001</f>
        <v>3.7609739999999996</v>
      </c>
      <c r="K137" s="45" t="s">
        <v>886</v>
      </c>
      <c r="L137" s="49">
        <f>VLOOKUP(F137,BM!$A$2:$X$57,12,FALSE)</f>
        <v>2.5</v>
      </c>
      <c r="M137" s="49"/>
      <c r="N137" s="46">
        <f t="shared" si="21"/>
        <v>9.4024349999999988</v>
      </c>
      <c r="O137" s="46">
        <v>1</v>
      </c>
      <c r="P137" s="46">
        <f t="shared" si="22"/>
        <v>10.402434999999999</v>
      </c>
    </row>
    <row r="138" spans="3:16" ht="18.75" customHeight="1">
      <c r="C138" s="40" t="s">
        <v>941</v>
      </c>
      <c r="D138" s="40"/>
      <c r="E138" s="41"/>
      <c r="F138" s="42">
        <v>18</v>
      </c>
      <c r="G138" s="50">
        <v>1197</v>
      </c>
      <c r="H138" s="51"/>
      <c r="I138" s="42">
        <v>1</v>
      </c>
      <c r="J138" s="46">
        <f>G138*3.142*0.001</f>
        <v>3.7609739999999996</v>
      </c>
      <c r="K138" s="45" t="s">
        <v>886</v>
      </c>
      <c r="L138" s="49">
        <f>VLOOKUP(F138,BM!$A$2:$X$57,18,FALSE)</f>
        <v>1</v>
      </c>
      <c r="M138" s="49"/>
      <c r="N138" s="46">
        <f t="shared" si="21"/>
        <v>3.7609739999999996</v>
      </c>
      <c r="O138" s="46">
        <v>1</v>
      </c>
      <c r="P138" s="46">
        <f t="shared" si="22"/>
        <v>4.7609739999999992</v>
      </c>
    </row>
    <row r="139" spans="3:16" ht="18.75" customHeight="1">
      <c r="C139" s="40" t="s">
        <v>942</v>
      </c>
      <c r="D139" s="40"/>
      <c r="E139" s="41"/>
      <c r="F139" s="42">
        <v>8</v>
      </c>
      <c r="G139" s="50">
        <v>1197</v>
      </c>
      <c r="H139" s="51"/>
      <c r="I139" s="42">
        <v>1</v>
      </c>
      <c r="J139" s="46">
        <f>G139*3.142*0.001</f>
        <v>3.7609739999999996</v>
      </c>
      <c r="K139" s="45" t="s">
        <v>886</v>
      </c>
      <c r="L139" s="49">
        <f>VLOOKUP(F139,BM!$A$2:$X$57,12,FALSE)</f>
        <v>1.36</v>
      </c>
      <c r="M139" s="49"/>
      <c r="N139" s="46">
        <f t="shared" si="21"/>
        <v>5.1149246399999999</v>
      </c>
      <c r="O139" s="46">
        <v>1</v>
      </c>
      <c r="P139" s="46">
        <f t="shared" si="22"/>
        <v>6.1149246399999999</v>
      </c>
    </row>
    <row r="140" spans="3:16" ht="18.75" customHeight="1">
      <c r="J140" s="47"/>
      <c r="K140" s="47"/>
      <c r="L140" s="48"/>
      <c r="M140" s="48"/>
      <c r="N140" s="48"/>
      <c r="O140" s="48"/>
      <c r="P140" s="48"/>
    </row>
    <row r="141" spans="3:16" ht="18.75" customHeight="1">
      <c r="C141" s="37" t="s">
        <v>866</v>
      </c>
      <c r="D141" s="38" t="s">
        <v>867</v>
      </c>
      <c r="E141" s="38"/>
      <c r="F141" s="39" t="s">
        <v>2</v>
      </c>
      <c r="G141" s="39" t="s">
        <v>908</v>
      </c>
      <c r="H141" s="39" t="s">
        <v>909</v>
      </c>
      <c r="I141" s="39" t="s">
        <v>4</v>
      </c>
      <c r="J141" s="39" t="s">
        <v>870</v>
      </c>
      <c r="K141" s="39" t="s">
        <v>5</v>
      </c>
      <c r="L141" s="39" t="s">
        <v>871</v>
      </c>
      <c r="M141" s="39" t="s">
        <v>5</v>
      </c>
      <c r="N141" s="39" t="s">
        <v>870</v>
      </c>
      <c r="O141" s="39" t="s">
        <v>872</v>
      </c>
      <c r="P141" s="39" t="s">
        <v>873</v>
      </c>
    </row>
    <row r="142" spans="3:16" ht="18.75" customHeight="1">
      <c r="C142" s="40" t="s">
        <v>943</v>
      </c>
      <c r="D142" s="40"/>
      <c r="E142" s="41"/>
      <c r="F142" s="42">
        <v>30</v>
      </c>
      <c r="G142" s="50">
        <v>1500</v>
      </c>
      <c r="H142" s="42"/>
      <c r="I142" s="50">
        <v>2</v>
      </c>
      <c r="J142" s="45">
        <f>(G142+F142)*3.142*I142/1000</f>
        <v>9.6145200000000006</v>
      </c>
      <c r="K142" s="45" t="s">
        <v>886</v>
      </c>
      <c r="L142" s="49">
        <f>VLOOKUP(F142,BM!$A$2:$X$57,16,FALSE)</f>
        <v>1</v>
      </c>
      <c r="M142" s="49"/>
      <c r="N142" s="46">
        <f>J142*L142</f>
        <v>9.6145200000000006</v>
      </c>
      <c r="O142" s="46">
        <v>1</v>
      </c>
      <c r="P142" s="46">
        <f>N142+O142</f>
        <v>10.614520000000001</v>
      </c>
    </row>
    <row r="143" spans="3:16" ht="18.75" customHeight="1">
      <c r="C143" s="40" t="s">
        <v>944</v>
      </c>
      <c r="D143" s="40"/>
      <c r="E143" s="41"/>
      <c r="F143" s="42">
        <v>20</v>
      </c>
      <c r="G143" s="50">
        <v>1500</v>
      </c>
      <c r="H143" s="42"/>
      <c r="I143" s="50">
        <v>2</v>
      </c>
      <c r="J143" s="45">
        <f>G143*3.142*2*I143/1000</f>
        <v>18.852</v>
      </c>
      <c r="K143" s="45" t="s">
        <v>886</v>
      </c>
      <c r="L143" s="49">
        <f>VLOOKUP(F143,BM!$A$2:$X$57,22,FALSE)</f>
        <v>4</v>
      </c>
      <c r="M143" s="49"/>
      <c r="N143" s="46">
        <f>J143*L143</f>
        <v>75.408000000000001</v>
      </c>
      <c r="O143" s="46">
        <v>1</v>
      </c>
      <c r="P143" s="46">
        <f>N143+O143</f>
        <v>76.408000000000001</v>
      </c>
    </row>
    <row r="144" spans="3:16" ht="18.75" customHeight="1">
      <c r="C144" s="40" t="s">
        <v>945</v>
      </c>
      <c r="D144" s="40"/>
      <c r="E144" s="41" t="s">
        <v>933</v>
      </c>
      <c r="F144" s="42"/>
      <c r="G144" s="42"/>
      <c r="H144" s="42"/>
      <c r="I144" s="42">
        <v>2</v>
      </c>
      <c r="J144" s="45">
        <v>2</v>
      </c>
      <c r="K144" s="45" t="s">
        <v>81</v>
      </c>
      <c r="L144" s="49">
        <v>4</v>
      </c>
      <c r="M144" s="49"/>
      <c r="N144" s="46">
        <f>J144*L144</f>
        <v>8</v>
      </c>
      <c r="O144" s="46">
        <v>1</v>
      </c>
      <c r="P144" s="46">
        <f>N144+O144</f>
        <v>9</v>
      </c>
    </row>
    <row r="145" spans="2:16" ht="18.75" customHeight="1">
      <c r="C145" s="40" t="s">
        <v>946</v>
      </c>
      <c r="D145" s="40"/>
      <c r="E145" s="41"/>
      <c r="F145" s="50">
        <v>20</v>
      </c>
      <c r="G145" s="42"/>
      <c r="H145" s="42"/>
      <c r="I145" s="42"/>
      <c r="J145" s="45">
        <v>11.6</v>
      </c>
      <c r="K145" s="45" t="s">
        <v>886</v>
      </c>
      <c r="L145" s="49">
        <f>VLOOKUP(F145,BM!$A$2:$X$57,22,FALSE)</f>
        <v>4</v>
      </c>
      <c r="M145" s="49"/>
      <c r="N145" s="46">
        <f>J145*L145</f>
        <v>46.4</v>
      </c>
      <c r="O145" s="46">
        <v>1</v>
      </c>
      <c r="P145" s="46">
        <f>N145+O145</f>
        <v>47.4</v>
      </c>
    </row>
    <row r="146" spans="2:16" ht="18.75" customHeight="1">
      <c r="J146" s="47"/>
      <c r="K146" s="47"/>
      <c r="L146" s="54"/>
      <c r="M146" s="54"/>
      <c r="N146" s="48"/>
      <c r="O146" s="48"/>
      <c r="P146" s="48"/>
    </row>
    <row r="147" spans="2:16" ht="18.75" customHeight="1">
      <c r="C147" s="40" t="s">
        <v>947</v>
      </c>
      <c r="D147" s="40"/>
      <c r="E147" s="41"/>
      <c r="F147" s="42"/>
      <c r="G147" s="42"/>
      <c r="H147" s="42"/>
      <c r="I147" s="42"/>
      <c r="J147" s="45">
        <v>2</v>
      </c>
      <c r="K147" s="45" t="s">
        <v>81</v>
      </c>
      <c r="L147" s="49">
        <v>2</v>
      </c>
      <c r="M147" s="49"/>
      <c r="N147" s="46">
        <f>J147*L147</f>
        <v>4</v>
      </c>
      <c r="O147" s="46">
        <v>1</v>
      </c>
      <c r="P147" s="46">
        <f>N147+O147</f>
        <v>5</v>
      </c>
    </row>
    <row r="148" spans="2:16" ht="18.75" customHeight="1">
      <c r="C148" s="40" t="s">
        <v>948</v>
      </c>
      <c r="D148" s="40"/>
      <c r="E148" s="41"/>
      <c r="F148" s="42">
        <v>12</v>
      </c>
      <c r="G148" s="42"/>
      <c r="H148" s="42"/>
      <c r="I148" s="42"/>
      <c r="J148" s="45">
        <v>3</v>
      </c>
      <c r="K148" s="45" t="s">
        <v>886</v>
      </c>
      <c r="L148" s="49">
        <f>VLOOKUP(F148,BM!$A$2:$X$57,22,FALSE)</f>
        <v>1.6</v>
      </c>
      <c r="M148" s="49"/>
      <c r="N148" s="46">
        <f>J148*L148</f>
        <v>4.8000000000000007</v>
      </c>
      <c r="O148" s="46">
        <v>1</v>
      </c>
      <c r="P148" s="46">
        <f>N148+O148</f>
        <v>5.8000000000000007</v>
      </c>
    </row>
    <row r="149" spans="2:16" ht="18.75" customHeight="1">
      <c r="J149" s="47"/>
      <c r="K149" s="47"/>
      <c r="L149" s="54"/>
      <c r="M149" s="54"/>
      <c r="N149" s="48"/>
      <c r="O149" s="48"/>
      <c r="P149" s="48"/>
    </row>
    <row r="150" spans="2:16" ht="18.75" customHeight="1">
      <c r="J150" s="47"/>
      <c r="K150" s="47"/>
      <c r="L150" s="48"/>
      <c r="M150" s="48"/>
      <c r="N150" s="48"/>
      <c r="O150" s="48"/>
      <c r="P150" s="48"/>
    </row>
    <row r="151" spans="2:16" ht="18.75" customHeight="1">
      <c r="C151" s="37" t="s">
        <v>866</v>
      </c>
      <c r="D151" s="38" t="s">
        <v>867</v>
      </c>
      <c r="E151" s="38"/>
      <c r="F151" s="39" t="s">
        <v>2</v>
      </c>
      <c r="G151" s="39" t="s">
        <v>908</v>
      </c>
      <c r="H151" s="39" t="s">
        <v>909</v>
      </c>
      <c r="I151" s="39" t="s">
        <v>4</v>
      </c>
      <c r="J151" s="39" t="s">
        <v>870</v>
      </c>
      <c r="K151" s="39" t="s">
        <v>5</v>
      </c>
      <c r="L151" s="39" t="s">
        <v>871</v>
      </c>
      <c r="M151" s="39" t="s">
        <v>5</v>
      </c>
      <c r="N151" s="39" t="s">
        <v>870</v>
      </c>
      <c r="O151" s="39" t="s">
        <v>872</v>
      </c>
      <c r="P151" s="39" t="s">
        <v>873</v>
      </c>
    </row>
    <row r="152" spans="2:16" ht="18.75" customHeight="1">
      <c r="B152" s="270" t="s">
        <v>1146</v>
      </c>
      <c r="C152" s="40" t="s">
        <v>949</v>
      </c>
      <c r="D152" s="40" t="s">
        <v>875</v>
      </c>
      <c r="E152" s="41"/>
      <c r="F152" s="42">
        <v>24</v>
      </c>
      <c r="G152" s="50">
        <v>1700</v>
      </c>
      <c r="H152" s="42"/>
      <c r="I152" s="42">
        <v>1</v>
      </c>
      <c r="J152" s="45">
        <f>G152*1.25/1000</f>
        <v>2.125</v>
      </c>
      <c r="K152" s="45" t="s">
        <v>886</v>
      </c>
      <c r="L152" s="49">
        <f>VLOOKUP(F152,BM!$A$2:$X$57,2,FALSE)</f>
        <v>0.1</v>
      </c>
      <c r="M152" s="49"/>
      <c r="N152" s="46">
        <f t="shared" ref="N152:N154" si="23">J152*L152</f>
        <v>0.21250000000000002</v>
      </c>
      <c r="O152" s="46">
        <v>1</v>
      </c>
      <c r="P152" s="46">
        <f t="shared" ref="P152:P154" si="24">N152+O152</f>
        <v>1.2124999999999999</v>
      </c>
    </row>
    <row r="153" spans="2:16" ht="18.75" customHeight="1">
      <c r="B153" s="270"/>
      <c r="C153" s="40" t="s">
        <v>950</v>
      </c>
      <c r="D153" s="40" t="s">
        <v>875</v>
      </c>
      <c r="E153" s="41"/>
      <c r="F153" s="42">
        <v>30</v>
      </c>
      <c r="G153" s="50">
        <v>1700</v>
      </c>
      <c r="H153" s="42"/>
      <c r="I153" s="42">
        <v>1</v>
      </c>
      <c r="J153" s="45">
        <f>G153*1.25/1000</f>
        <v>2.125</v>
      </c>
      <c r="K153" s="45" t="s">
        <v>886</v>
      </c>
      <c r="L153" s="49">
        <f>VLOOKUP(F153,BM!$A$2:$X$57,3,FALSE)</f>
        <v>0.25</v>
      </c>
      <c r="M153" s="49"/>
      <c r="N153" s="46">
        <f t="shared" si="23"/>
        <v>0.53125</v>
      </c>
      <c r="O153" s="46">
        <v>1</v>
      </c>
      <c r="P153" s="46">
        <f t="shared" si="24"/>
        <v>1.53125</v>
      </c>
    </row>
    <row r="154" spans="2:16" ht="18.75" customHeight="1">
      <c r="B154" s="270"/>
      <c r="C154" s="40" t="s">
        <v>951</v>
      </c>
      <c r="D154" s="40" t="s">
        <v>875</v>
      </c>
      <c r="E154" s="41"/>
      <c r="F154" s="50">
        <v>20</v>
      </c>
      <c r="G154" s="50">
        <v>1700</v>
      </c>
      <c r="H154" s="42"/>
      <c r="I154" s="42">
        <v>1</v>
      </c>
      <c r="J154" s="45">
        <f>G154*1.25/1000</f>
        <v>2.125</v>
      </c>
      <c r="K154" s="45" t="s">
        <v>886</v>
      </c>
      <c r="L154" s="49">
        <f>VLOOKUP(F154,BM!$A$2:$X$57,4,FALSE)</f>
        <v>0.15</v>
      </c>
      <c r="M154" s="49"/>
      <c r="N154" s="46">
        <f t="shared" si="23"/>
        <v>0.31874999999999998</v>
      </c>
      <c r="O154" s="46">
        <v>1</v>
      </c>
      <c r="P154" s="46">
        <f t="shared" si="24"/>
        <v>1.3187500000000001</v>
      </c>
    </row>
    <row r="155" spans="2:16" ht="18.75" customHeight="1">
      <c r="B155" s="270"/>
      <c r="C155" s="40" t="s">
        <v>952</v>
      </c>
      <c r="D155" s="40" t="s">
        <v>875</v>
      </c>
      <c r="E155" s="41"/>
      <c r="F155" s="42">
        <v>20</v>
      </c>
      <c r="G155" s="50">
        <v>1640</v>
      </c>
      <c r="H155" s="50">
        <v>425</v>
      </c>
      <c r="I155" s="42">
        <v>1</v>
      </c>
      <c r="J155" s="45">
        <f>(G155*2*0.001+H155*2*0.001)*I155</f>
        <v>4.13</v>
      </c>
      <c r="K155" s="45" t="s">
        <v>886</v>
      </c>
      <c r="L155" s="49">
        <f>VLOOKUP(F155,BM!$A$2:$X$57,2,FALSE)</f>
        <v>0.1</v>
      </c>
      <c r="M155" s="49"/>
      <c r="N155" s="46">
        <f t="shared" ref="N155:N188" si="25">J155*L155</f>
        <v>0.41300000000000003</v>
      </c>
      <c r="O155" s="46">
        <v>1</v>
      </c>
      <c r="P155" s="46">
        <f t="shared" ref="P155:P188" si="26">N155+O155</f>
        <v>1.413</v>
      </c>
    </row>
    <row r="156" spans="2:16" ht="18.75" customHeight="1">
      <c r="B156" s="270"/>
      <c r="C156" s="40" t="s">
        <v>953</v>
      </c>
      <c r="D156" s="40" t="s">
        <v>875</v>
      </c>
      <c r="E156" s="41"/>
      <c r="F156" s="42">
        <v>24</v>
      </c>
      <c r="G156" s="50">
        <v>1640</v>
      </c>
      <c r="H156" s="50">
        <v>425</v>
      </c>
      <c r="I156" s="42">
        <v>1</v>
      </c>
      <c r="J156" s="45">
        <f>(G156+F156)*3.142*2*0.001+H156*2*0.001</f>
        <v>11.306576</v>
      </c>
      <c r="K156" s="45" t="s">
        <v>886</v>
      </c>
      <c r="L156" s="49">
        <f>VLOOKUP(F156,BM!$A$2:$X$57,3,FALSE)</f>
        <v>0.25</v>
      </c>
      <c r="M156" s="49"/>
      <c r="N156" s="46">
        <f t="shared" si="25"/>
        <v>2.8266439999999999</v>
      </c>
      <c r="O156" s="46">
        <v>1</v>
      </c>
      <c r="P156" s="46">
        <f t="shared" si="26"/>
        <v>3.8266439999999999</v>
      </c>
    </row>
    <row r="157" spans="2:16" ht="18.75" customHeight="1">
      <c r="B157" s="270"/>
      <c r="C157" s="40" t="s">
        <v>954</v>
      </c>
      <c r="D157" s="40" t="s">
        <v>875</v>
      </c>
      <c r="E157" s="41"/>
      <c r="F157" s="50">
        <v>24</v>
      </c>
      <c r="G157" s="50">
        <v>1640</v>
      </c>
      <c r="H157" s="50">
        <v>425</v>
      </c>
      <c r="I157" s="42">
        <v>1</v>
      </c>
      <c r="J157" s="45">
        <f>(G157+F157)*3.142*2*0.001+H157*2*0.001</f>
        <v>11.306576</v>
      </c>
      <c r="K157" s="45" t="s">
        <v>886</v>
      </c>
      <c r="L157" s="49">
        <f>VLOOKUP(F157,BM!$A$2:$X$57,4,FALSE)</f>
        <v>0.15</v>
      </c>
      <c r="M157" s="49"/>
      <c r="N157" s="46">
        <f t="shared" si="25"/>
        <v>1.6959864</v>
      </c>
      <c r="O157" s="46">
        <v>1</v>
      </c>
      <c r="P157" s="46">
        <f t="shared" si="26"/>
        <v>2.6959863999999998</v>
      </c>
    </row>
    <row r="158" spans="2:16" ht="18.75" customHeight="1">
      <c r="B158" s="270"/>
      <c r="C158" s="40" t="s">
        <v>955</v>
      </c>
      <c r="D158" s="40" t="s">
        <v>875</v>
      </c>
      <c r="E158" s="41"/>
      <c r="F158" s="50">
        <v>24</v>
      </c>
      <c r="G158" s="50">
        <v>1640</v>
      </c>
      <c r="H158" s="50">
        <v>425</v>
      </c>
      <c r="I158" s="42">
        <v>1</v>
      </c>
      <c r="J158" s="45">
        <f>(G158+F158)*3.142*2*0.001+H158*2*0.001</f>
        <v>11.306576</v>
      </c>
      <c r="K158" s="45" t="s">
        <v>876</v>
      </c>
      <c r="L158" s="49">
        <f>VLOOKUP(F158,BM!$A$2:$X$57,5,FALSE)</f>
        <v>0.5</v>
      </c>
      <c r="M158" s="49"/>
      <c r="N158" s="46">
        <f t="shared" si="25"/>
        <v>5.6532879999999999</v>
      </c>
      <c r="O158" s="46">
        <v>1</v>
      </c>
      <c r="P158" s="46">
        <f t="shared" si="26"/>
        <v>6.6532879999999999</v>
      </c>
    </row>
    <row r="159" spans="2:16" ht="18.75" customHeight="1">
      <c r="B159" s="270"/>
      <c r="C159" s="40" t="s">
        <v>956</v>
      </c>
      <c r="D159" s="40" t="s">
        <v>875</v>
      </c>
      <c r="E159" s="41"/>
      <c r="F159" s="50">
        <v>20</v>
      </c>
      <c r="G159" s="50">
        <v>1700</v>
      </c>
      <c r="H159" s="42"/>
      <c r="I159" s="42">
        <v>1</v>
      </c>
      <c r="J159" s="45">
        <f>G159*1.25/1000</f>
        <v>2.125</v>
      </c>
      <c r="K159" s="45" t="s">
        <v>876</v>
      </c>
      <c r="L159" s="49">
        <f>VLOOKUP(F159,BM!$A$2:$X$57,6,FALSE)</f>
        <v>1</v>
      </c>
      <c r="M159" s="49"/>
      <c r="N159" s="46">
        <f t="shared" si="25"/>
        <v>2.125</v>
      </c>
      <c r="O159" s="46">
        <v>1</v>
      </c>
      <c r="P159" s="46">
        <f t="shared" si="26"/>
        <v>3.125</v>
      </c>
    </row>
    <row r="160" spans="2:16" ht="18.75" customHeight="1">
      <c r="J160" s="47"/>
      <c r="K160" s="47"/>
      <c r="L160" s="48"/>
      <c r="M160" s="48"/>
      <c r="N160" s="48"/>
      <c r="O160" s="48"/>
      <c r="P160" s="48"/>
    </row>
    <row r="161" spans="2:16" ht="18.75" customHeight="1">
      <c r="C161" s="37" t="s">
        <v>866</v>
      </c>
      <c r="D161" s="38" t="s">
        <v>867</v>
      </c>
      <c r="E161" s="38"/>
      <c r="F161" s="39" t="s">
        <v>2</v>
      </c>
      <c r="G161" s="39" t="s">
        <v>908</v>
      </c>
      <c r="H161" s="39" t="s">
        <v>909</v>
      </c>
      <c r="I161" s="39" t="s">
        <v>4</v>
      </c>
      <c r="J161" s="39" t="s">
        <v>870</v>
      </c>
      <c r="K161" s="39" t="s">
        <v>5</v>
      </c>
      <c r="L161" s="39" t="s">
        <v>871</v>
      </c>
      <c r="M161" s="39" t="s">
        <v>5</v>
      </c>
      <c r="N161" s="39" t="s">
        <v>870</v>
      </c>
      <c r="O161" s="39" t="s">
        <v>872</v>
      </c>
      <c r="P161" s="39" t="s">
        <v>873</v>
      </c>
    </row>
    <row r="162" spans="2:16" ht="18.75" customHeight="1">
      <c r="B162" s="264" t="s">
        <v>1147</v>
      </c>
      <c r="C162" s="40" t="s">
        <v>957</v>
      </c>
      <c r="D162" s="40" t="s">
        <v>875</v>
      </c>
      <c r="E162" s="40" t="s">
        <v>581</v>
      </c>
      <c r="F162" s="41">
        <v>24</v>
      </c>
      <c r="G162" s="50" t="s">
        <v>958</v>
      </c>
      <c r="H162" s="50" t="s">
        <v>959</v>
      </c>
      <c r="I162" s="42">
        <v>1</v>
      </c>
      <c r="J162" s="42">
        <v>1</v>
      </c>
      <c r="K162" s="45"/>
      <c r="L162" s="45">
        <f>VLOOKUP(F162,BM!$A$2:$X$57,7,FALSE)</f>
        <v>2</v>
      </c>
      <c r="M162" s="45"/>
      <c r="N162" s="49">
        <f t="shared" si="25"/>
        <v>2</v>
      </c>
      <c r="O162" s="46">
        <v>1</v>
      </c>
      <c r="P162" s="46">
        <f t="shared" si="26"/>
        <v>3</v>
      </c>
    </row>
    <row r="163" spans="2:16" ht="18.75" customHeight="1">
      <c r="B163" s="265"/>
      <c r="C163" s="40" t="s">
        <v>960</v>
      </c>
      <c r="D163" s="40" t="s">
        <v>875</v>
      </c>
      <c r="E163" s="40"/>
      <c r="F163" s="41">
        <v>24</v>
      </c>
      <c r="G163" s="50" t="str">
        <f>G162</f>
        <v>1640 ID</v>
      </c>
      <c r="H163" s="50">
        <v>425</v>
      </c>
      <c r="I163" s="42">
        <v>1</v>
      </c>
      <c r="J163" s="42">
        <f>H163*0.001*I163</f>
        <v>0.42499999999999999</v>
      </c>
      <c r="K163" s="45"/>
      <c r="L163" s="45">
        <f>VLOOKUP(F163,BM!$A$2:$X$57,8,FALSE)</f>
        <v>0.5</v>
      </c>
      <c r="M163" s="45"/>
      <c r="N163" s="49">
        <f t="shared" si="25"/>
        <v>0.21249999999999999</v>
      </c>
      <c r="O163" s="46">
        <v>1</v>
      </c>
      <c r="P163" s="46">
        <f t="shared" si="26"/>
        <v>1.2124999999999999</v>
      </c>
    </row>
    <row r="164" spans="2:16" ht="18.75" customHeight="1">
      <c r="B164" s="265"/>
      <c r="C164" s="40" t="s">
        <v>961</v>
      </c>
      <c r="D164" s="40" t="s">
        <v>875</v>
      </c>
      <c r="E164" s="40"/>
      <c r="F164" s="41">
        <v>24</v>
      </c>
      <c r="G164" s="50" t="str">
        <f t="shared" ref="G164:G165" si="27">G163</f>
        <v>1640 ID</v>
      </c>
      <c r="H164" s="52">
        <v>425</v>
      </c>
      <c r="I164" s="42">
        <v>1</v>
      </c>
      <c r="J164" s="42">
        <f>H164*0.001*I164</f>
        <v>0.42499999999999999</v>
      </c>
      <c r="K164" s="45"/>
      <c r="L164" s="45">
        <f>VLOOKUP(F164,BM!$A$2:$X$57,9,FALSE)</f>
        <v>1</v>
      </c>
      <c r="M164" s="45"/>
      <c r="N164" s="49">
        <f t="shared" si="25"/>
        <v>0.42499999999999999</v>
      </c>
      <c r="O164" s="46">
        <v>1</v>
      </c>
      <c r="P164" s="46">
        <f t="shared" si="26"/>
        <v>1.425</v>
      </c>
    </row>
    <row r="165" spans="2:16" ht="18.75" customHeight="1">
      <c r="B165" s="265"/>
      <c r="C165" s="40" t="s">
        <v>962</v>
      </c>
      <c r="D165" s="40" t="s">
        <v>875</v>
      </c>
      <c r="E165" s="40" t="s">
        <v>581</v>
      </c>
      <c r="F165" s="41">
        <v>24</v>
      </c>
      <c r="G165" s="50" t="str">
        <f t="shared" si="27"/>
        <v>1640 ID</v>
      </c>
      <c r="H165" s="52" t="s">
        <v>963</v>
      </c>
      <c r="I165" s="42">
        <v>1</v>
      </c>
      <c r="J165" s="42">
        <v>1</v>
      </c>
      <c r="K165" s="45"/>
      <c r="L165" s="45">
        <v>2</v>
      </c>
      <c r="M165" s="45"/>
      <c r="N165" s="49">
        <f t="shared" si="25"/>
        <v>2</v>
      </c>
      <c r="O165" s="46">
        <v>1</v>
      </c>
      <c r="P165" s="46">
        <f t="shared" si="26"/>
        <v>3</v>
      </c>
    </row>
    <row r="166" spans="2:16" ht="18.75" customHeight="1">
      <c r="J166" s="47"/>
      <c r="K166" s="47"/>
      <c r="L166" s="48"/>
      <c r="M166" s="48"/>
      <c r="N166" s="48"/>
      <c r="O166" s="48"/>
      <c r="P166" s="48"/>
    </row>
    <row r="167" spans="2:16" ht="18.75" customHeight="1">
      <c r="C167" s="37" t="s">
        <v>866</v>
      </c>
      <c r="D167" s="38" t="s">
        <v>867</v>
      </c>
      <c r="E167" s="38"/>
      <c r="F167" s="39" t="s">
        <v>2</v>
      </c>
      <c r="G167" s="39" t="s">
        <v>908</v>
      </c>
      <c r="H167" s="39" t="s">
        <v>909</v>
      </c>
      <c r="I167" s="39" t="s">
        <v>4</v>
      </c>
      <c r="J167" s="39" t="s">
        <v>870</v>
      </c>
      <c r="K167" s="39" t="s">
        <v>5</v>
      </c>
      <c r="L167" s="39" t="s">
        <v>871</v>
      </c>
      <c r="M167" s="39" t="s">
        <v>5</v>
      </c>
      <c r="N167" s="39" t="s">
        <v>870</v>
      </c>
      <c r="O167" s="39" t="s">
        <v>872</v>
      </c>
      <c r="P167" s="39" t="s">
        <v>873</v>
      </c>
    </row>
    <row r="168" spans="2:16" ht="18.75" customHeight="1">
      <c r="B168" s="264" t="s">
        <v>1148</v>
      </c>
      <c r="C168" s="40" t="s">
        <v>964</v>
      </c>
      <c r="D168" s="40" t="s">
        <v>875</v>
      </c>
      <c r="E168" s="40" t="s">
        <v>581</v>
      </c>
      <c r="F168" s="41">
        <v>24</v>
      </c>
      <c r="G168" s="42">
        <f t="shared" ref="G168:G176" si="28">1640</f>
        <v>1640</v>
      </c>
      <c r="H168" s="52">
        <v>512</v>
      </c>
      <c r="I168" s="42">
        <v>1</v>
      </c>
      <c r="J168" s="42">
        <f>H168/1000*I168</f>
        <v>0.51200000000000001</v>
      </c>
      <c r="K168" s="45" t="s">
        <v>886</v>
      </c>
      <c r="L168" s="45">
        <f>VLOOKUP(F168,BM!$A$2:$X$57,6,FALSE)</f>
        <v>1</v>
      </c>
      <c r="M168" s="45"/>
      <c r="N168" s="49">
        <f t="shared" si="25"/>
        <v>0.51200000000000001</v>
      </c>
      <c r="O168" s="46">
        <v>1</v>
      </c>
      <c r="P168" s="46">
        <f t="shared" si="26"/>
        <v>1.512</v>
      </c>
    </row>
    <row r="169" spans="2:16" ht="18.75" customHeight="1">
      <c r="B169" s="265"/>
      <c r="C169" s="40" t="s">
        <v>965</v>
      </c>
      <c r="D169" s="40" t="s">
        <v>875</v>
      </c>
      <c r="E169" s="40"/>
      <c r="F169" s="41">
        <v>24</v>
      </c>
      <c r="G169" s="42">
        <f t="shared" si="28"/>
        <v>1640</v>
      </c>
      <c r="H169" s="52">
        <v>512</v>
      </c>
      <c r="I169" s="42">
        <v>1</v>
      </c>
      <c r="J169" s="42">
        <f>H169/1000*I169</f>
        <v>0.51200000000000001</v>
      </c>
      <c r="K169" s="45" t="s">
        <v>886</v>
      </c>
      <c r="L169" s="45">
        <f>VLOOKUP(F169,BM!$A$2:$X$57,10,FALSE)</f>
        <v>1</v>
      </c>
      <c r="M169" s="45"/>
      <c r="N169" s="49">
        <f t="shared" si="25"/>
        <v>0.51200000000000001</v>
      </c>
      <c r="O169" s="46">
        <v>1</v>
      </c>
      <c r="P169" s="46">
        <f t="shared" si="26"/>
        <v>1.512</v>
      </c>
    </row>
    <row r="170" spans="2:16" ht="18.75" customHeight="1">
      <c r="B170" s="265"/>
      <c r="C170" s="40" t="s">
        <v>966</v>
      </c>
      <c r="D170" s="40" t="s">
        <v>875</v>
      </c>
      <c r="E170" s="40" t="s">
        <v>581</v>
      </c>
      <c r="F170" s="41">
        <v>24</v>
      </c>
      <c r="G170" s="42">
        <f t="shared" si="28"/>
        <v>1640</v>
      </c>
      <c r="H170" s="52">
        <v>512</v>
      </c>
      <c r="I170" s="42">
        <v>1</v>
      </c>
      <c r="J170" s="42">
        <f>H170/1000*I170</f>
        <v>0.51200000000000001</v>
      </c>
      <c r="K170" s="45" t="s">
        <v>886</v>
      </c>
      <c r="L170" s="45">
        <v>2</v>
      </c>
      <c r="M170" s="45"/>
      <c r="N170" s="49">
        <f t="shared" si="25"/>
        <v>1.024</v>
      </c>
      <c r="O170" s="46">
        <v>1</v>
      </c>
      <c r="P170" s="46">
        <f t="shared" si="26"/>
        <v>2.024</v>
      </c>
    </row>
    <row r="171" spans="2:16" ht="18.75" customHeight="1">
      <c r="B171" s="265"/>
      <c r="C171" s="40" t="s">
        <v>967</v>
      </c>
      <c r="D171" s="40" t="s">
        <v>875</v>
      </c>
      <c r="E171" s="40"/>
      <c r="F171" s="41">
        <v>16</v>
      </c>
      <c r="G171" s="42">
        <f t="shared" si="28"/>
        <v>1640</v>
      </c>
      <c r="H171" s="52">
        <v>512</v>
      </c>
      <c r="I171" s="42">
        <v>1</v>
      </c>
      <c r="J171" s="42">
        <f>H171/1000*I171</f>
        <v>0.51200000000000001</v>
      </c>
      <c r="K171" s="45" t="s">
        <v>886</v>
      </c>
      <c r="L171" s="45">
        <f>VLOOKUP(F171,BM!$A$2:$X$57,12,FALSE)</f>
        <v>4.0199999999999996</v>
      </c>
      <c r="M171" s="45"/>
      <c r="N171" s="49">
        <f t="shared" si="25"/>
        <v>2.0582399999999996</v>
      </c>
      <c r="O171" s="46">
        <v>1</v>
      </c>
      <c r="P171" s="46">
        <f t="shared" si="26"/>
        <v>3.0582399999999996</v>
      </c>
    </row>
    <row r="172" spans="2:16" ht="18.75" customHeight="1">
      <c r="B172" s="265"/>
      <c r="C172" s="40" t="s">
        <v>968</v>
      </c>
      <c r="D172" s="40" t="s">
        <v>875</v>
      </c>
      <c r="E172" s="40"/>
      <c r="F172" s="41">
        <v>16</v>
      </c>
      <c r="G172" s="42">
        <f t="shared" si="28"/>
        <v>1640</v>
      </c>
      <c r="H172" s="52">
        <v>512</v>
      </c>
      <c r="I172" s="42">
        <v>1</v>
      </c>
      <c r="J172" s="42">
        <f>H172/1000*I172</f>
        <v>0.51200000000000001</v>
      </c>
      <c r="K172" s="45" t="s">
        <v>886</v>
      </c>
      <c r="L172" s="45">
        <f>VLOOKUP(F172,BM!$A$2:$X$57,18,FALSE)</f>
        <v>1</v>
      </c>
      <c r="M172" s="45"/>
      <c r="N172" s="49">
        <f t="shared" si="25"/>
        <v>0.51200000000000001</v>
      </c>
      <c r="O172" s="46">
        <v>1</v>
      </c>
      <c r="P172" s="46">
        <f t="shared" si="26"/>
        <v>1.512</v>
      </c>
    </row>
    <row r="173" spans="2:16" ht="18.75" customHeight="1">
      <c r="B173" s="265"/>
      <c r="C173" s="40" t="s">
        <v>969</v>
      </c>
      <c r="D173" s="40" t="s">
        <v>875</v>
      </c>
      <c r="E173" s="40"/>
      <c r="F173" s="41">
        <v>12</v>
      </c>
      <c r="G173" s="42">
        <f t="shared" si="28"/>
        <v>1640</v>
      </c>
      <c r="H173" s="52">
        <v>512</v>
      </c>
      <c r="I173" s="42">
        <v>1</v>
      </c>
      <c r="J173" s="42">
        <f>H172/1000*I173</f>
        <v>0.51200000000000001</v>
      </c>
      <c r="K173" s="45" t="s">
        <v>886</v>
      </c>
      <c r="L173" s="45">
        <f>VLOOKUP(F173,BM!$A$2:$X$57,12,FALSE)</f>
        <v>2.5</v>
      </c>
      <c r="M173" s="45"/>
      <c r="N173" s="49">
        <f t="shared" si="25"/>
        <v>1.28</v>
      </c>
      <c r="O173" s="46">
        <v>1</v>
      </c>
      <c r="P173" s="46">
        <f t="shared" si="26"/>
        <v>2.2800000000000002</v>
      </c>
    </row>
    <row r="174" spans="2:16" ht="18.75" customHeight="1">
      <c r="B174" s="265"/>
      <c r="C174" s="40" t="s">
        <v>970</v>
      </c>
      <c r="D174" s="40" t="s">
        <v>875</v>
      </c>
      <c r="E174" s="40"/>
      <c r="F174" s="41">
        <v>12</v>
      </c>
      <c r="G174" s="42">
        <f t="shared" si="28"/>
        <v>1640</v>
      </c>
      <c r="H174" s="52">
        <v>512</v>
      </c>
      <c r="I174" s="42">
        <v>1</v>
      </c>
      <c r="J174" s="42">
        <f>H173/1000*I174</f>
        <v>0.51200000000000001</v>
      </c>
      <c r="K174" s="45" t="s">
        <v>886</v>
      </c>
      <c r="L174" s="45">
        <f>VLOOKUP(F174,BM!$A$2:$X$57,20,FALSE)</f>
        <v>0.5</v>
      </c>
      <c r="M174" s="45"/>
      <c r="N174" s="49">
        <f t="shared" si="25"/>
        <v>0.25600000000000001</v>
      </c>
      <c r="O174" s="46">
        <v>1</v>
      </c>
      <c r="P174" s="46">
        <f t="shared" si="26"/>
        <v>1.256</v>
      </c>
    </row>
    <row r="175" spans="2:16" ht="18.75" customHeight="1">
      <c r="B175" s="265"/>
      <c r="C175" s="40" t="s">
        <v>971</v>
      </c>
      <c r="D175" s="40" t="s">
        <v>875</v>
      </c>
      <c r="E175" s="40" t="s">
        <v>581</v>
      </c>
      <c r="F175" s="41">
        <v>12</v>
      </c>
      <c r="G175" s="42">
        <f t="shared" si="28"/>
        <v>1640</v>
      </c>
      <c r="H175" s="42">
        <v>512</v>
      </c>
      <c r="I175" s="42">
        <v>1</v>
      </c>
      <c r="J175" s="42">
        <v>1</v>
      </c>
      <c r="K175" s="45" t="s">
        <v>39</v>
      </c>
      <c r="L175" s="45"/>
      <c r="M175" s="45"/>
      <c r="N175" s="49"/>
      <c r="O175" s="46"/>
      <c r="P175" s="46" t="s">
        <v>902</v>
      </c>
    </row>
    <row r="176" spans="2:16" ht="18.75" customHeight="1">
      <c r="B176" s="265"/>
      <c r="C176" s="40" t="s">
        <v>972</v>
      </c>
      <c r="D176" s="40" t="s">
        <v>875</v>
      </c>
      <c r="E176" s="40" t="s">
        <v>581</v>
      </c>
      <c r="F176" s="41">
        <v>12</v>
      </c>
      <c r="G176" s="42">
        <f t="shared" si="28"/>
        <v>1640</v>
      </c>
      <c r="H176" s="42">
        <v>512</v>
      </c>
      <c r="I176" s="42">
        <v>1</v>
      </c>
      <c r="J176" s="42">
        <v>1</v>
      </c>
      <c r="K176" s="45" t="s">
        <v>39</v>
      </c>
      <c r="L176" s="45"/>
      <c r="M176" s="45"/>
      <c r="N176" s="49"/>
      <c r="O176" s="46"/>
      <c r="P176" s="46" t="s">
        <v>902</v>
      </c>
    </row>
    <row r="177" spans="2:16" ht="18.75" customHeight="1">
      <c r="E177" s="35"/>
      <c r="F177" s="36"/>
      <c r="K177" s="47"/>
      <c r="L177" s="47"/>
      <c r="M177" s="47"/>
      <c r="O177" s="48"/>
      <c r="P177" s="48"/>
    </row>
    <row r="178" spans="2:16" ht="18.75" customHeight="1">
      <c r="C178" s="37" t="s">
        <v>866</v>
      </c>
      <c r="D178" s="38" t="s">
        <v>867</v>
      </c>
      <c r="E178" s="38"/>
      <c r="F178" s="39" t="s">
        <v>2</v>
      </c>
      <c r="G178" s="39" t="s">
        <v>908</v>
      </c>
      <c r="H178" s="39" t="s">
        <v>909</v>
      </c>
      <c r="I178" s="39" t="s">
        <v>4</v>
      </c>
      <c r="J178" s="39" t="s">
        <v>870</v>
      </c>
      <c r="K178" s="39" t="s">
        <v>5</v>
      </c>
      <c r="L178" s="39" t="s">
        <v>871</v>
      </c>
      <c r="M178" s="39" t="s">
        <v>5</v>
      </c>
      <c r="N178" s="39" t="s">
        <v>870</v>
      </c>
      <c r="O178" s="39" t="s">
        <v>872</v>
      </c>
      <c r="P178" s="39" t="s">
        <v>873</v>
      </c>
    </row>
    <row r="179" spans="2:16" ht="18.75" customHeight="1">
      <c r="B179" s="264" t="s">
        <v>1149</v>
      </c>
      <c r="C179" s="40" t="s">
        <v>973</v>
      </c>
      <c r="D179" s="40" t="s">
        <v>875</v>
      </c>
      <c r="E179" s="40" t="s">
        <v>581</v>
      </c>
      <c r="F179" s="41">
        <v>20</v>
      </c>
      <c r="G179" s="50">
        <v>1640</v>
      </c>
      <c r="H179" s="53">
        <v>512</v>
      </c>
      <c r="I179" s="42">
        <v>1</v>
      </c>
      <c r="J179" s="42">
        <v>1</v>
      </c>
      <c r="K179" s="45" t="s">
        <v>39</v>
      </c>
      <c r="L179" s="45">
        <f>VLOOKUP(F179,BM!$A$2:$X$57,13,FALSE)</f>
        <v>1</v>
      </c>
      <c r="M179" s="45"/>
      <c r="N179" s="49">
        <f t="shared" si="25"/>
        <v>1</v>
      </c>
      <c r="O179" s="46">
        <v>1</v>
      </c>
      <c r="P179" s="46">
        <f t="shared" si="26"/>
        <v>2</v>
      </c>
    </row>
    <row r="180" spans="2:16" ht="18.75" customHeight="1">
      <c r="B180" s="265"/>
      <c r="C180" s="40" t="s">
        <v>974</v>
      </c>
      <c r="D180" s="40" t="s">
        <v>875</v>
      </c>
      <c r="E180" s="40"/>
      <c r="F180" s="41">
        <v>20</v>
      </c>
      <c r="G180" s="50">
        <f t="shared" ref="G180:G189" si="29">G179</f>
        <v>1640</v>
      </c>
      <c r="H180" s="53">
        <v>512</v>
      </c>
      <c r="I180" s="42">
        <v>1</v>
      </c>
      <c r="J180" s="45">
        <f>(G180+F180)*3.142/1000*I180</f>
        <v>5.2157200000000001</v>
      </c>
      <c r="K180" s="45" t="s">
        <v>886</v>
      </c>
      <c r="L180" s="45">
        <f>VLOOKUP(F180,BM!$A$2:$X$57,16,FALSE)</f>
        <v>1</v>
      </c>
      <c r="M180" s="45"/>
      <c r="N180" s="49">
        <f t="shared" si="25"/>
        <v>5.2157200000000001</v>
      </c>
      <c r="O180" s="46">
        <v>1</v>
      </c>
      <c r="P180" s="46">
        <f t="shared" si="26"/>
        <v>6.2157200000000001</v>
      </c>
    </row>
    <row r="181" spans="2:16" ht="18.75" customHeight="1">
      <c r="B181" s="265"/>
      <c r="C181" s="40" t="s">
        <v>975</v>
      </c>
      <c r="D181" s="40" t="s">
        <v>875</v>
      </c>
      <c r="E181" s="40"/>
      <c r="F181" s="41">
        <v>14</v>
      </c>
      <c r="G181" s="50">
        <f t="shared" si="29"/>
        <v>1640</v>
      </c>
      <c r="H181" s="53">
        <v>512</v>
      </c>
      <c r="I181" s="42">
        <v>1</v>
      </c>
      <c r="J181" s="45">
        <f t="shared" ref="J181:J188" si="30">(G181+F181)*3.142/1000*I181</f>
        <v>5.1968679999999994</v>
      </c>
      <c r="K181" s="45" t="s">
        <v>886</v>
      </c>
      <c r="L181" s="45">
        <f>VLOOKUP(F181,BM!$A$2:$X$57,17,FALSE)</f>
        <v>3.22</v>
      </c>
      <c r="M181" s="45"/>
      <c r="N181" s="49">
        <f t="shared" si="25"/>
        <v>16.73391496</v>
      </c>
      <c r="O181" s="46">
        <v>1</v>
      </c>
      <c r="P181" s="46">
        <f t="shared" si="26"/>
        <v>17.73391496</v>
      </c>
    </row>
    <row r="182" spans="2:16" ht="18.75" customHeight="1">
      <c r="B182" s="265"/>
      <c r="C182" s="40" t="s">
        <v>976</v>
      </c>
      <c r="D182" s="40" t="s">
        <v>875</v>
      </c>
      <c r="E182" s="40"/>
      <c r="F182" s="41">
        <v>18</v>
      </c>
      <c r="G182" s="50">
        <f t="shared" si="29"/>
        <v>1640</v>
      </c>
      <c r="H182" s="53">
        <v>512</v>
      </c>
      <c r="I182" s="42">
        <v>1</v>
      </c>
      <c r="J182" s="45">
        <f t="shared" si="30"/>
        <v>5.2094359999999993</v>
      </c>
      <c r="K182" s="45" t="s">
        <v>886</v>
      </c>
      <c r="L182" s="45">
        <f>VLOOKUP(F182,BM!$A$2:$X$57,18,FALSE)</f>
        <v>1</v>
      </c>
      <c r="M182" s="45"/>
      <c r="N182" s="49">
        <f t="shared" si="25"/>
        <v>5.2094359999999993</v>
      </c>
      <c r="O182" s="46">
        <v>1</v>
      </c>
      <c r="P182" s="46">
        <f t="shared" si="26"/>
        <v>6.2094359999999993</v>
      </c>
    </row>
    <row r="183" spans="2:16" ht="18.75" customHeight="1">
      <c r="B183" s="265"/>
      <c r="C183" s="40" t="s">
        <v>977</v>
      </c>
      <c r="D183" s="40" t="s">
        <v>875</v>
      </c>
      <c r="E183" s="40"/>
      <c r="F183" s="41">
        <v>6</v>
      </c>
      <c r="G183" s="50">
        <f t="shared" si="29"/>
        <v>1640</v>
      </c>
      <c r="H183" s="53">
        <v>512</v>
      </c>
      <c r="I183" s="42">
        <v>1</v>
      </c>
      <c r="J183" s="45">
        <f t="shared" si="30"/>
        <v>5.1717319999999996</v>
      </c>
      <c r="K183" s="45" t="s">
        <v>886</v>
      </c>
      <c r="L183" s="45">
        <f>VLOOKUP(F183,BM!$A$2:$X$57,17,FALSE)</f>
        <v>0.9</v>
      </c>
      <c r="M183" s="45"/>
      <c r="N183" s="49">
        <f t="shared" si="25"/>
        <v>4.6545587999999993</v>
      </c>
      <c r="O183" s="46">
        <v>1</v>
      </c>
      <c r="P183" s="46">
        <f t="shared" si="26"/>
        <v>5.6545587999999993</v>
      </c>
    </row>
    <row r="184" spans="2:16" ht="18.75" customHeight="1">
      <c r="B184" s="265"/>
      <c r="C184" s="40" t="s">
        <v>978</v>
      </c>
      <c r="D184" s="40" t="s">
        <v>875</v>
      </c>
      <c r="E184" s="40"/>
      <c r="F184" s="41">
        <v>20</v>
      </c>
      <c r="G184" s="50">
        <f t="shared" si="29"/>
        <v>1640</v>
      </c>
      <c r="H184" s="53">
        <v>512</v>
      </c>
      <c r="I184" s="42">
        <v>1</v>
      </c>
      <c r="J184" s="45">
        <f t="shared" si="30"/>
        <v>5.2157200000000001</v>
      </c>
      <c r="K184" s="45" t="s">
        <v>886</v>
      </c>
      <c r="L184" s="45">
        <f>VLOOKUP(F184,BM!$A$2:$X$57,16,FALSE)</f>
        <v>1</v>
      </c>
      <c r="M184" s="45"/>
      <c r="N184" s="49">
        <f t="shared" si="25"/>
        <v>5.2157200000000001</v>
      </c>
      <c r="O184" s="46">
        <v>1</v>
      </c>
      <c r="P184" s="46">
        <f t="shared" si="26"/>
        <v>6.2157200000000001</v>
      </c>
    </row>
    <row r="185" spans="2:16" ht="18.75" customHeight="1">
      <c r="B185" s="265"/>
      <c r="C185" s="40" t="s">
        <v>979</v>
      </c>
      <c r="D185" s="40" t="s">
        <v>875</v>
      </c>
      <c r="E185" s="40"/>
      <c r="F185" s="41">
        <v>14</v>
      </c>
      <c r="G185" s="50">
        <f t="shared" si="29"/>
        <v>1640</v>
      </c>
      <c r="H185" s="53">
        <v>512</v>
      </c>
      <c r="I185" s="42">
        <v>1</v>
      </c>
      <c r="J185" s="45">
        <f t="shared" si="30"/>
        <v>5.1968679999999994</v>
      </c>
      <c r="K185" s="45" t="s">
        <v>886</v>
      </c>
      <c r="L185" s="45">
        <f>VLOOKUP(F185,BM!$A$2:$X$57,17,FALSE)</f>
        <v>3.22</v>
      </c>
      <c r="M185" s="45"/>
      <c r="N185" s="49">
        <f t="shared" si="25"/>
        <v>16.73391496</v>
      </c>
      <c r="O185" s="46">
        <v>1</v>
      </c>
      <c r="P185" s="46">
        <f t="shared" si="26"/>
        <v>17.73391496</v>
      </c>
    </row>
    <row r="186" spans="2:16" ht="18.75" customHeight="1">
      <c r="B186" s="265"/>
      <c r="C186" s="40" t="s">
        <v>976</v>
      </c>
      <c r="D186" s="40" t="s">
        <v>875</v>
      </c>
      <c r="E186" s="40"/>
      <c r="F186" s="41">
        <v>6</v>
      </c>
      <c r="G186" s="50">
        <f t="shared" si="29"/>
        <v>1640</v>
      </c>
      <c r="H186" s="53">
        <v>512</v>
      </c>
      <c r="I186" s="42">
        <v>1</v>
      </c>
      <c r="J186" s="45">
        <f t="shared" si="30"/>
        <v>5.1717319999999996</v>
      </c>
      <c r="K186" s="45" t="s">
        <v>886</v>
      </c>
      <c r="L186" s="45">
        <f>VLOOKUP(F186,BM!$A$2:$X$57,18,FALSE)</f>
        <v>1</v>
      </c>
      <c r="M186" s="45"/>
      <c r="N186" s="49">
        <f t="shared" si="25"/>
        <v>5.1717319999999996</v>
      </c>
      <c r="O186" s="46">
        <v>1</v>
      </c>
      <c r="P186" s="46">
        <f t="shared" si="26"/>
        <v>6.1717319999999996</v>
      </c>
    </row>
    <row r="187" spans="2:16" ht="18.75" customHeight="1">
      <c r="B187" s="265"/>
      <c r="C187" s="40" t="s">
        <v>977</v>
      </c>
      <c r="D187" s="40" t="s">
        <v>875</v>
      </c>
      <c r="E187" s="40"/>
      <c r="F187" s="41">
        <v>6</v>
      </c>
      <c r="G187" s="50">
        <f t="shared" si="29"/>
        <v>1640</v>
      </c>
      <c r="H187" s="53">
        <v>512</v>
      </c>
      <c r="I187" s="42">
        <v>1</v>
      </c>
      <c r="J187" s="45">
        <f t="shared" si="30"/>
        <v>5.1717319999999996</v>
      </c>
      <c r="K187" s="45" t="s">
        <v>886</v>
      </c>
      <c r="L187" s="45">
        <f>VLOOKUP(F187,BM!$A$2:$X$57,17,FALSE)</f>
        <v>0.9</v>
      </c>
      <c r="M187" s="45"/>
      <c r="N187" s="49">
        <f t="shared" si="25"/>
        <v>4.6545587999999993</v>
      </c>
      <c r="O187" s="46">
        <v>1</v>
      </c>
      <c r="P187" s="46">
        <f t="shared" si="26"/>
        <v>5.6545587999999993</v>
      </c>
    </row>
    <row r="188" spans="2:16" ht="18.75" customHeight="1">
      <c r="B188" s="265"/>
      <c r="C188" s="40" t="s">
        <v>980</v>
      </c>
      <c r="D188" s="40" t="s">
        <v>875</v>
      </c>
      <c r="E188" s="40"/>
      <c r="F188" s="41">
        <v>20</v>
      </c>
      <c r="G188" s="50">
        <f t="shared" si="29"/>
        <v>1640</v>
      </c>
      <c r="H188" s="53">
        <v>512</v>
      </c>
      <c r="I188" s="42">
        <v>1</v>
      </c>
      <c r="J188" s="45">
        <f t="shared" si="30"/>
        <v>5.2157200000000001</v>
      </c>
      <c r="K188" s="45" t="s">
        <v>886</v>
      </c>
      <c r="L188" s="45">
        <f>VLOOKUP(F188,BM!$A$2:$X$57,20,FALSE)</f>
        <v>0.5</v>
      </c>
      <c r="M188" s="45"/>
      <c r="N188" s="49">
        <f t="shared" si="25"/>
        <v>2.6078600000000001</v>
      </c>
      <c r="O188" s="46">
        <v>1</v>
      </c>
      <c r="P188" s="46">
        <f t="shared" si="26"/>
        <v>3.6078600000000001</v>
      </c>
    </row>
    <row r="189" spans="2:16" ht="18.75" customHeight="1">
      <c r="B189" s="265"/>
      <c r="C189" s="40" t="s">
        <v>981</v>
      </c>
      <c r="D189" s="40" t="s">
        <v>875</v>
      </c>
      <c r="E189" s="40" t="s">
        <v>581</v>
      </c>
      <c r="F189" s="41"/>
      <c r="G189" s="50">
        <f t="shared" si="29"/>
        <v>1640</v>
      </c>
      <c r="H189" s="53">
        <v>512</v>
      </c>
      <c r="I189" s="42">
        <v>1</v>
      </c>
      <c r="J189" s="42">
        <v>1</v>
      </c>
      <c r="K189" s="45" t="s">
        <v>564</v>
      </c>
      <c r="L189" s="45"/>
      <c r="M189" s="45"/>
      <c r="N189" s="49"/>
      <c r="O189" s="46"/>
      <c r="P189" s="46" t="s">
        <v>902</v>
      </c>
    </row>
    <row r="190" spans="2:16" ht="18.75" customHeight="1">
      <c r="C190" s="34"/>
      <c r="D190" s="34"/>
      <c r="E190" s="34"/>
    </row>
    <row r="191" spans="2:16" ht="18.75" customHeight="1">
      <c r="B191" s="267" t="s">
        <v>1150</v>
      </c>
      <c r="C191" s="37" t="s">
        <v>866</v>
      </c>
      <c r="D191" s="38" t="s">
        <v>867</v>
      </c>
      <c r="E191" s="38"/>
      <c r="F191" s="39" t="s">
        <v>2</v>
      </c>
      <c r="G191" s="39" t="s">
        <v>908</v>
      </c>
      <c r="H191" s="39" t="s">
        <v>909</v>
      </c>
      <c r="I191" s="39" t="s">
        <v>4</v>
      </c>
      <c r="J191" s="39" t="s">
        <v>870</v>
      </c>
      <c r="K191" s="39" t="s">
        <v>5</v>
      </c>
      <c r="L191" s="39" t="s">
        <v>871</v>
      </c>
      <c r="M191" s="39" t="s">
        <v>5</v>
      </c>
      <c r="N191" s="39" t="s">
        <v>870</v>
      </c>
      <c r="O191" s="39" t="s">
        <v>872</v>
      </c>
      <c r="P191" s="39" t="s">
        <v>873</v>
      </c>
    </row>
    <row r="192" spans="2:16" ht="18.75" customHeight="1">
      <c r="B192" s="268"/>
      <c r="C192" s="40" t="s">
        <v>982</v>
      </c>
      <c r="D192" s="40"/>
      <c r="E192" s="40"/>
      <c r="F192" s="41">
        <v>20</v>
      </c>
      <c r="G192" s="42">
        <v>1640</v>
      </c>
      <c r="H192" s="52">
        <v>512</v>
      </c>
      <c r="I192" s="42">
        <v>1</v>
      </c>
      <c r="J192" s="42">
        <v>1</v>
      </c>
      <c r="K192" s="45" t="s">
        <v>564</v>
      </c>
      <c r="L192" s="45">
        <v>4</v>
      </c>
      <c r="M192" s="45"/>
      <c r="N192" s="49">
        <f t="shared" ref="N192:N197" si="31">J192*L192</f>
        <v>4</v>
      </c>
      <c r="O192" s="46">
        <v>0</v>
      </c>
      <c r="P192" s="46">
        <v>4</v>
      </c>
    </row>
    <row r="193" spans="2:16" ht="18.75" customHeight="1">
      <c r="B193" s="268"/>
      <c r="C193" s="40" t="s">
        <v>983</v>
      </c>
      <c r="D193" s="40" t="s">
        <v>581</v>
      </c>
      <c r="E193" s="40"/>
      <c r="F193" s="41" t="s">
        <v>984</v>
      </c>
      <c r="G193" s="42"/>
      <c r="H193" s="52"/>
      <c r="I193" s="42">
        <v>2</v>
      </c>
      <c r="J193" s="42">
        <v>2</v>
      </c>
      <c r="K193" s="45" t="s">
        <v>564</v>
      </c>
      <c r="L193" s="45">
        <v>2</v>
      </c>
      <c r="M193" s="45"/>
      <c r="N193" s="49">
        <f t="shared" si="31"/>
        <v>4</v>
      </c>
      <c r="O193" s="46">
        <v>0.5</v>
      </c>
      <c r="P193" s="46">
        <f>N193+O193</f>
        <v>4.5</v>
      </c>
    </row>
    <row r="194" spans="2:16" ht="18.75" customHeight="1">
      <c r="B194" s="268"/>
      <c r="C194" s="40" t="s">
        <v>985</v>
      </c>
      <c r="D194" s="40" t="s">
        <v>581</v>
      </c>
      <c r="E194" s="40"/>
      <c r="F194" s="41" t="s">
        <v>984</v>
      </c>
      <c r="G194" s="42"/>
      <c r="H194" s="52"/>
      <c r="I194" s="42">
        <v>2</v>
      </c>
      <c r="J194" s="42">
        <v>2</v>
      </c>
      <c r="K194" s="45" t="s">
        <v>564</v>
      </c>
      <c r="L194" s="45">
        <v>2</v>
      </c>
      <c r="M194" s="45"/>
      <c r="N194" s="49">
        <f t="shared" si="31"/>
        <v>4</v>
      </c>
      <c r="O194" s="46">
        <v>0.5</v>
      </c>
      <c r="P194" s="46">
        <f>N194+O194</f>
        <v>4.5</v>
      </c>
    </row>
    <row r="195" spans="2:16" ht="18.75" customHeight="1">
      <c r="B195" s="268"/>
      <c r="C195" s="40" t="s">
        <v>986</v>
      </c>
      <c r="D195" s="40" t="s">
        <v>581</v>
      </c>
      <c r="E195" s="40"/>
      <c r="F195" s="41" t="s">
        <v>984</v>
      </c>
      <c r="G195" s="42"/>
      <c r="H195" s="52"/>
      <c r="I195" s="42">
        <v>2</v>
      </c>
      <c r="J195" s="42">
        <v>2</v>
      </c>
      <c r="K195" s="45" t="s">
        <v>564</v>
      </c>
      <c r="L195" s="45">
        <v>2</v>
      </c>
      <c r="M195" s="45"/>
      <c r="N195" s="49">
        <f t="shared" si="31"/>
        <v>4</v>
      </c>
      <c r="O195" s="46">
        <v>0.5</v>
      </c>
      <c r="P195" s="46">
        <f>N195+O195</f>
        <v>4.5</v>
      </c>
    </row>
    <row r="196" spans="2:16" ht="18.75" customHeight="1">
      <c r="B196" s="268"/>
      <c r="C196" s="40" t="s">
        <v>987</v>
      </c>
      <c r="D196" s="40"/>
      <c r="E196" s="40"/>
      <c r="F196" s="41">
        <v>14</v>
      </c>
      <c r="G196" s="42"/>
      <c r="H196" s="52">
        <f>100*3.142*0.001</f>
        <v>0.31419999999999998</v>
      </c>
      <c r="I196" s="42">
        <v>2</v>
      </c>
      <c r="J196" s="42">
        <f>H196*I196</f>
        <v>0.62839999999999996</v>
      </c>
      <c r="K196" s="45" t="s">
        <v>886</v>
      </c>
      <c r="L196" s="45">
        <f>VLOOKUP(F196,BM!$A$2:$X$57,23,FALSE)</f>
        <v>4.4000000000000004</v>
      </c>
      <c r="M196" s="45"/>
      <c r="N196" s="49">
        <f t="shared" si="31"/>
        <v>2.7649599999999999</v>
      </c>
      <c r="O196" s="46">
        <v>1</v>
      </c>
      <c r="P196" s="46">
        <f>N196+O196</f>
        <v>3.7649599999999999</v>
      </c>
    </row>
    <row r="197" spans="2:16" ht="18.75" customHeight="1">
      <c r="B197" s="268"/>
      <c r="C197" s="40" t="s">
        <v>987</v>
      </c>
      <c r="D197" s="40"/>
      <c r="E197" s="40"/>
      <c r="F197" s="41">
        <v>14</v>
      </c>
      <c r="G197" s="42"/>
      <c r="H197" s="52">
        <f>100*3.142*0.001</f>
        <v>0.31419999999999998</v>
      </c>
      <c r="I197" s="42">
        <v>2</v>
      </c>
      <c r="J197" s="42">
        <f>H197*I197</f>
        <v>0.62839999999999996</v>
      </c>
      <c r="K197" s="45" t="s">
        <v>886</v>
      </c>
      <c r="L197" s="45">
        <f>VLOOKUP(F197,BM!$A$2:$X$57,23,FALSE)</f>
        <v>4.4000000000000004</v>
      </c>
      <c r="M197" s="45"/>
      <c r="N197" s="49">
        <f t="shared" si="31"/>
        <v>2.7649599999999999</v>
      </c>
      <c r="O197" s="46">
        <v>1</v>
      </c>
      <c r="P197" s="46">
        <f>N197+O197</f>
        <v>3.7649599999999999</v>
      </c>
    </row>
    <row r="198" spans="2:16" ht="18.75" customHeight="1">
      <c r="B198" s="268"/>
      <c r="C198" s="40" t="s">
        <v>988</v>
      </c>
      <c r="D198" s="40"/>
      <c r="E198" s="40"/>
      <c r="F198" s="41">
        <v>6</v>
      </c>
      <c r="G198" s="42"/>
      <c r="H198" s="52">
        <f t="shared" ref="H198:H199" si="32">100*3.142*0.001</f>
        <v>0.31419999999999998</v>
      </c>
      <c r="I198" s="42">
        <v>2</v>
      </c>
      <c r="J198" s="42">
        <f t="shared" ref="J198:J199" si="33">H198*I198</f>
        <v>0.62839999999999996</v>
      </c>
      <c r="K198" s="45" t="s">
        <v>886</v>
      </c>
      <c r="L198" s="45">
        <f>VLOOKUP(F198,BM!$A$2:$X$57,22,FALSE)</f>
        <v>0.6</v>
      </c>
      <c r="M198" s="45"/>
      <c r="N198" s="49">
        <f t="shared" ref="N198:N199" si="34">J198*L198</f>
        <v>0.37703999999999999</v>
      </c>
      <c r="O198" s="46">
        <v>1</v>
      </c>
      <c r="P198" s="46">
        <f t="shared" ref="P198:P199" si="35">N198+O198</f>
        <v>1.37704</v>
      </c>
    </row>
    <row r="199" spans="2:16" ht="18.75" customHeight="1">
      <c r="B199" s="269"/>
      <c r="C199" s="40" t="s">
        <v>988</v>
      </c>
      <c r="D199" s="40"/>
      <c r="E199" s="40"/>
      <c r="F199" s="41">
        <v>6</v>
      </c>
      <c r="G199" s="42"/>
      <c r="H199" s="52">
        <f t="shared" si="32"/>
        <v>0.31419999999999998</v>
      </c>
      <c r="I199" s="42">
        <v>2</v>
      </c>
      <c r="J199" s="42">
        <f t="shared" si="33"/>
        <v>0.62839999999999996</v>
      </c>
      <c r="K199" s="45" t="s">
        <v>886</v>
      </c>
      <c r="L199" s="45">
        <f>VLOOKUP(F199,BM!$A$2:$X$57,22,FALSE)</f>
        <v>0.6</v>
      </c>
      <c r="M199" s="45"/>
      <c r="N199" s="49">
        <f t="shared" si="34"/>
        <v>0.37703999999999999</v>
      </c>
      <c r="O199" s="46">
        <v>1</v>
      </c>
      <c r="P199" s="46">
        <f t="shared" si="35"/>
        <v>1.37704</v>
      </c>
    </row>
    <row r="200" spans="2:16" ht="18.75" customHeight="1">
      <c r="J200" s="47"/>
      <c r="K200" s="47"/>
      <c r="L200" s="48"/>
      <c r="M200" s="48"/>
      <c r="N200" s="48"/>
      <c r="O200" s="48"/>
      <c r="P200" s="48"/>
    </row>
    <row r="201" spans="2:16" ht="18.75" customHeight="1">
      <c r="C201" s="37" t="s">
        <v>866</v>
      </c>
      <c r="D201" s="38" t="s">
        <v>867</v>
      </c>
      <c r="E201" s="38"/>
      <c r="F201" s="39" t="s">
        <v>2</v>
      </c>
      <c r="G201" s="39" t="s">
        <v>908</v>
      </c>
      <c r="H201" s="39" t="s">
        <v>909</v>
      </c>
      <c r="I201" s="39" t="s">
        <v>4</v>
      </c>
      <c r="J201" s="39" t="s">
        <v>870</v>
      </c>
      <c r="K201" s="39" t="s">
        <v>5</v>
      </c>
      <c r="L201" s="39" t="s">
        <v>871</v>
      </c>
      <c r="M201" s="39" t="s">
        <v>5</v>
      </c>
      <c r="N201" s="39" t="s">
        <v>870</v>
      </c>
      <c r="O201" s="39" t="s">
        <v>872</v>
      </c>
      <c r="P201" s="39" t="s">
        <v>873</v>
      </c>
    </row>
    <row r="202" spans="2:16" ht="18.75" customHeight="1">
      <c r="B202" s="267" t="s">
        <v>1151</v>
      </c>
      <c r="C202" s="40" t="s">
        <v>989</v>
      </c>
      <c r="D202" s="40" t="s">
        <v>875</v>
      </c>
      <c r="E202" s="40"/>
      <c r="F202" s="55">
        <v>18</v>
      </c>
      <c r="G202" s="55">
        <v>1500</v>
      </c>
      <c r="H202" s="55">
        <v>921</v>
      </c>
      <c r="I202" s="40">
        <v>1</v>
      </c>
      <c r="J202" s="45">
        <f>(G202*2*0.001+H202*2*0.001)*I202</f>
        <v>4.8420000000000005</v>
      </c>
      <c r="K202" s="40" t="s">
        <v>886</v>
      </c>
      <c r="L202" s="40">
        <f>VLOOKUP(F202,BM!$A$2:$X$57,2,FALSE)</f>
        <v>0.1</v>
      </c>
      <c r="M202" s="40"/>
      <c r="N202" s="49">
        <f>J202*L202</f>
        <v>0.48420000000000007</v>
      </c>
      <c r="O202" s="40">
        <v>1</v>
      </c>
      <c r="P202" s="57">
        <f t="shared" ref="P202:P229" si="36">N202+O202</f>
        <v>1.4842</v>
      </c>
    </row>
    <row r="203" spans="2:16" ht="18.75" customHeight="1">
      <c r="B203" s="268"/>
      <c r="C203" s="40" t="s">
        <v>990</v>
      </c>
      <c r="D203" s="40" t="s">
        <v>875</v>
      </c>
      <c r="E203" s="40"/>
      <c r="F203" s="55">
        <v>18</v>
      </c>
      <c r="G203" s="55">
        <v>1500</v>
      </c>
      <c r="H203" s="55">
        <v>921</v>
      </c>
      <c r="I203" s="40">
        <v>1</v>
      </c>
      <c r="J203" s="45">
        <f>((G203+F203)*3.142*2*0.001+H203*2*0.001)*I203</f>
        <v>11.381112</v>
      </c>
      <c r="K203" s="40" t="s">
        <v>886</v>
      </c>
      <c r="L203" s="40">
        <f>VLOOKUP(F203,BM!$A$2:$X$57,3,FALSE)</f>
        <v>0.25</v>
      </c>
      <c r="M203" s="40"/>
      <c r="N203" s="49">
        <f t="shared" ref="N203:N229" si="37">J203*L203</f>
        <v>2.845278</v>
      </c>
      <c r="O203" s="40">
        <v>1</v>
      </c>
      <c r="P203" s="57">
        <f t="shared" si="36"/>
        <v>3.845278</v>
      </c>
    </row>
    <row r="204" spans="2:16" ht="18.75" customHeight="1">
      <c r="B204" s="268"/>
      <c r="C204" s="40" t="s">
        <v>991</v>
      </c>
      <c r="D204" s="40" t="s">
        <v>875</v>
      </c>
      <c r="E204" s="40"/>
      <c r="F204" s="55">
        <v>18</v>
      </c>
      <c r="G204" s="55">
        <v>1500</v>
      </c>
      <c r="H204" s="55">
        <v>921</v>
      </c>
      <c r="I204" s="40">
        <v>1</v>
      </c>
      <c r="J204" s="46">
        <f>((G204+F204)*3.142*2*0.001+H204*2*0.001)*I204</f>
        <v>11.381112</v>
      </c>
      <c r="K204" s="40" t="s">
        <v>886</v>
      </c>
      <c r="L204" s="40">
        <f>VLOOKUP(F204,BM!$A$2:$X$57,4,FALSE)</f>
        <v>0.15</v>
      </c>
      <c r="M204" s="40"/>
      <c r="N204" s="49">
        <f t="shared" si="37"/>
        <v>1.7071668</v>
      </c>
      <c r="O204" s="40">
        <v>1</v>
      </c>
      <c r="P204" s="57">
        <f t="shared" si="36"/>
        <v>2.7071668</v>
      </c>
    </row>
    <row r="205" spans="2:16" ht="18.75" customHeight="1">
      <c r="B205" s="268"/>
      <c r="C205" s="40" t="s">
        <v>992</v>
      </c>
      <c r="D205" s="40" t="s">
        <v>875</v>
      </c>
      <c r="E205" s="40"/>
      <c r="F205" s="55">
        <v>18</v>
      </c>
      <c r="G205" s="55">
        <v>1500</v>
      </c>
      <c r="H205" s="55">
        <v>921</v>
      </c>
      <c r="I205" s="40">
        <v>1</v>
      </c>
      <c r="J205" s="46">
        <f>(G205+F205)*3.142*0.001*2</f>
        <v>9.5391119999999994</v>
      </c>
      <c r="K205" s="40" t="s">
        <v>886</v>
      </c>
      <c r="L205" s="40">
        <f>VLOOKUP(F205,BM!$A$2:$X$57,5,FALSE)</f>
        <v>0.5</v>
      </c>
      <c r="M205" s="40"/>
      <c r="N205" s="49">
        <f t="shared" si="37"/>
        <v>4.7695559999999997</v>
      </c>
      <c r="O205" s="40">
        <v>1</v>
      </c>
      <c r="P205" s="57">
        <f t="shared" si="36"/>
        <v>5.7695559999999997</v>
      </c>
    </row>
    <row r="206" spans="2:16" ht="18.75" customHeight="1">
      <c r="B206" s="268"/>
      <c r="C206" s="40" t="s">
        <v>993</v>
      </c>
      <c r="D206" s="40" t="s">
        <v>875</v>
      </c>
      <c r="E206" s="40"/>
      <c r="F206" s="55">
        <v>18</v>
      </c>
      <c r="G206" s="55">
        <v>1500</v>
      </c>
      <c r="H206" s="55">
        <v>921</v>
      </c>
      <c r="I206" s="40">
        <v>1</v>
      </c>
      <c r="J206" s="46">
        <f>(G206+F206)*3.142*0.001*2</f>
        <v>9.5391119999999994</v>
      </c>
      <c r="K206" s="40" t="s">
        <v>886</v>
      </c>
      <c r="L206" s="40">
        <f>VLOOKUP(F206,BM!$A$2:$X$57,6,FALSE)</f>
        <v>1</v>
      </c>
      <c r="M206" s="40"/>
      <c r="N206" s="49">
        <f t="shared" si="37"/>
        <v>9.5391119999999994</v>
      </c>
      <c r="O206" s="40">
        <v>1</v>
      </c>
      <c r="P206" s="57">
        <f t="shared" si="36"/>
        <v>10.539111999999999</v>
      </c>
    </row>
    <row r="207" spans="2:16" ht="18.75" customHeight="1">
      <c r="B207" s="268"/>
      <c r="C207" s="40" t="s">
        <v>994</v>
      </c>
      <c r="D207" s="40" t="s">
        <v>875</v>
      </c>
      <c r="E207" s="40" t="s">
        <v>581</v>
      </c>
      <c r="F207" s="55">
        <v>18</v>
      </c>
      <c r="G207" s="55">
        <v>1500</v>
      </c>
      <c r="H207" s="55">
        <v>921</v>
      </c>
      <c r="I207" s="40">
        <v>1</v>
      </c>
      <c r="J207" s="42">
        <v>1</v>
      </c>
      <c r="K207" s="40"/>
      <c r="L207" s="40">
        <v>2</v>
      </c>
      <c r="M207" s="40"/>
      <c r="N207" s="49">
        <f t="shared" si="37"/>
        <v>2</v>
      </c>
      <c r="O207" s="40">
        <v>1</v>
      </c>
      <c r="P207" s="57">
        <f t="shared" si="36"/>
        <v>3</v>
      </c>
    </row>
    <row r="208" spans="2:16" ht="18.75" customHeight="1">
      <c r="B208" s="268"/>
      <c r="C208" s="40" t="s">
        <v>995</v>
      </c>
      <c r="D208" s="40" t="s">
        <v>875</v>
      </c>
      <c r="E208" s="40"/>
      <c r="F208" s="55">
        <v>18</v>
      </c>
      <c r="G208" s="55">
        <v>1500</v>
      </c>
      <c r="H208" s="55">
        <v>921</v>
      </c>
      <c r="I208" s="40">
        <v>1</v>
      </c>
      <c r="J208" s="42">
        <f>H208*0.002*2+I208</f>
        <v>4.6840000000000002</v>
      </c>
      <c r="K208" s="40" t="s">
        <v>886</v>
      </c>
      <c r="L208" s="40">
        <f>VLOOKUP(F208,BM!$A$2:$X$57,8,FALSE)</f>
        <v>0.3</v>
      </c>
      <c r="M208" s="40"/>
      <c r="N208" s="49">
        <f t="shared" si="37"/>
        <v>1.4052</v>
      </c>
      <c r="O208" s="40">
        <v>1</v>
      </c>
      <c r="P208" s="57">
        <f t="shared" si="36"/>
        <v>2.4051999999999998</v>
      </c>
    </row>
    <row r="209" spans="2:16" ht="18.75" customHeight="1">
      <c r="B209" s="268"/>
      <c r="C209" s="40" t="s">
        <v>996</v>
      </c>
      <c r="D209" s="40" t="s">
        <v>875</v>
      </c>
      <c r="E209" s="40"/>
      <c r="F209" s="55">
        <v>18</v>
      </c>
      <c r="G209" s="55">
        <v>1500</v>
      </c>
      <c r="H209" s="55">
        <v>921</v>
      </c>
      <c r="I209" s="40">
        <v>1</v>
      </c>
      <c r="J209" s="42">
        <f>G209*0.001*2</f>
        <v>3</v>
      </c>
      <c r="K209" s="40" t="s">
        <v>886</v>
      </c>
      <c r="L209" s="40">
        <f>VLOOKUP(F209,BM!$A$2:$X$57,9,FALSE)</f>
        <v>1</v>
      </c>
      <c r="M209" s="40"/>
      <c r="N209" s="49">
        <f t="shared" si="37"/>
        <v>3</v>
      </c>
      <c r="O209" s="40">
        <v>1</v>
      </c>
      <c r="P209" s="57">
        <f t="shared" si="36"/>
        <v>4</v>
      </c>
    </row>
    <row r="210" spans="2:16" ht="18.75" customHeight="1">
      <c r="B210" s="269"/>
      <c r="C210" s="40" t="s">
        <v>997</v>
      </c>
      <c r="D210" s="40" t="s">
        <v>875</v>
      </c>
      <c r="E210" s="40" t="s">
        <v>581</v>
      </c>
      <c r="F210" s="55">
        <v>18</v>
      </c>
      <c r="G210" s="55">
        <v>1500</v>
      </c>
      <c r="H210" s="55">
        <v>921</v>
      </c>
      <c r="I210" s="40">
        <v>1</v>
      </c>
      <c r="J210" s="42">
        <v>1</v>
      </c>
      <c r="K210" s="40" t="s">
        <v>564</v>
      </c>
      <c r="L210" s="40">
        <v>3</v>
      </c>
      <c r="M210" s="40"/>
      <c r="N210" s="49">
        <f t="shared" si="37"/>
        <v>3</v>
      </c>
      <c r="O210" s="40">
        <v>1</v>
      </c>
      <c r="P210" s="57">
        <f t="shared" si="36"/>
        <v>4</v>
      </c>
    </row>
    <row r="211" spans="2:16" ht="18.75" customHeight="1">
      <c r="J211" s="47"/>
      <c r="K211" s="47"/>
      <c r="L211" s="48"/>
      <c r="M211" s="48"/>
      <c r="N211" s="48"/>
      <c r="O211" s="48"/>
      <c r="P211" s="48"/>
    </row>
    <row r="212" spans="2:16" ht="18.75" customHeight="1">
      <c r="C212" s="37" t="s">
        <v>866</v>
      </c>
      <c r="D212" s="38" t="s">
        <v>867</v>
      </c>
      <c r="E212" s="38"/>
      <c r="F212" s="39" t="s">
        <v>2</v>
      </c>
      <c r="G212" s="39" t="s">
        <v>908</v>
      </c>
      <c r="H212" s="39" t="s">
        <v>909</v>
      </c>
      <c r="I212" s="39" t="s">
        <v>4</v>
      </c>
      <c r="J212" s="39" t="s">
        <v>870</v>
      </c>
      <c r="K212" s="39" t="s">
        <v>5</v>
      </c>
      <c r="L212" s="39" t="s">
        <v>871</v>
      </c>
      <c r="M212" s="39" t="s">
        <v>5</v>
      </c>
      <c r="N212" s="39" t="s">
        <v>870</v>
      </c>
      <c r="O212" s="39" t="s">
        <v>872</v>
      </c>
      <c r="P212" s="39" t="s">
        <v>873</v>
      </c>
    </row>
    <row r="213" spans="2:16" ht="18.75" customHeight="1">
      <c r="B213" s="264" t="s">
        <v>1152</v>
      </c>
      <c r="C213" s="40" t="s">
        <v>998</v>
      </c>
      <c r="D213" s="40" t="s">
        <v>875</v>
      </c>
      <c r="E213" s="40"/>
      <c r="F213" s="55">
        <v>18</v>
      </c>
      <c r="G213" s="55">
        <v>1500</v>
      </c>
      <c r="H213" s="55">
        <v>921</v>
      </c>
      <c r="I213" s="40">
        <v>1</v>
      </c>
      <c r="J213" s="42">
        <f>H213*0.001*2*I213</f>
        <v>1.8420000000000001</v>
      </c>
      <c r="K213" s="40" t="s">
        <v>886</v>
      </c>
      <c r="L213" s="40">
        <f>VLOOKUP(F213,BM!$A$2:$X$57,13,FALSE)</f>
        <v>0.45</v>
      </c>
      <c r="M213" s="40"/>
      <c r="N213" s="49">
        <f t="shared" si="37"/>
        <v>0.82890000000000008</v>
      </c>
      <c r="O213" s="40">
        <v>1</v>
      </c>
      <c r="P213" s="57"/>
    </row>
    <row r="214" spans="2:16" ht="18.75" customHeight="1">
      <c r="B214" s="265"/>
      <c r="C214" s="40" t="s">
        <v>999</v>
      </c>
      <c r="D214" s="40" t="s">
        <v>875</v>
      </c>
      <c r="E214" s="40"/>
      <c r="F214" s="55">
        <v>18</v>
      </c>
      <c r="G214" s="55">
        <v>1500</v>
      </c>
      <c r="H214" s="55">
        <v>921</v>
      </c>
      <c r="I214" s="40">
        <v>1</v>
      </c>
      <c r="J214" s="42">
        <f>H214*0.001*I214</f>
        <v>0.92100000000000004</v>
      </c>
      <c r="K214" s="40" t="s">
        <v>886</v>
      </c>
      <c r="L214" s="40">
        <f>VLOOKUP(F214,BM!$A$2:$X$57,10,FALSE)</f>
        <v>1</v>
      </c>
      <c r="M214" s="40"/>
      <c r="N214" s="49">
        <f t="shared" ref="N214" si="38">J214*L214</f>
        <v>0.92100000000000004</v>
      </c>
      <c r="O214" s="40">
        <v>1</v>
      </c>
      <c r="P214" s="57">
        <f t="shared" ref="P214" si="39">N214+O214</f>
        <v>1.921</v>
      </c>
    </row>
    <row r="215" spans="2:16" ht="18.75" customHeight="1">
      <c r="B215" s="265"/>
      <c r="C215" s="40" t="s">
        <v>1000</v>
      </c>
      <c r="D215" s="40" t="s">
        <v>875</v>
      </c>
      <c r="E215" s="40" t="s">
        <v>581</v>
      </c>
      <c r="F215" s="55">
        <v>18</v>
      </c>
      <c r="G215" s="55">
        <v>1500</v>
      </c>
      <c r="H215" s="55">
        <v>921</v>
      </c>
      <c r="I215" s="40">
        <v>1</v>
      </c>
      <c r="J215" s="42">
        <v>1</v>
      </c>
      <c r="K215" s="40" t="s">
        <v>39</v>
      </c>
      <c r="L215" s="40">
        <v>2</v>
      </c>
      <c r="M215" s="40"/>
      <c r="N215" s="49">
        <f t="shared" si="37"/>
        <v>2</v>
      </c>
      <c r="O215" s="40">
        <v>1</v>
      </c>
      <c r="P215" s="57">
        <f t="shared" si="36"/>
        <v>3</v>
      </c>
    </row>
    <row r="216" spans="2:16" ht="18.75" customHeight="1">
      <c r="B216" s="265"/>
      <c r="C216" s="40" t="s">
        <v>1001</v>
      </c>
      <c r="D216" s="40" t="s">
        <v>875</v>
      </c>
      <c r="E216" s="40"/>
      <c r="F216" s="55">
        <v>18</v>
      </c>
      <c r="G216" s="55">
        <v>1500</v>
      </c>
      <c r="H216" s="55">
        <v>921</v>
      </c>
      <c r="I216" s="40">
        <v>1</v>
      </c>
      <c r="J216" s="42">
        <f>H216*0.001*I216</f>
        <v>0.92100000000000004</v>
      </c>
      <c r="K216" s="40" t="s">
        <v>886</v>
      </c>
      <c r="L216" s="40">
        <f>VLOOKUP(F216,BM!$A$2:$X$57,12,FALSE)</f>
        <v>4.9000000000000004</v>
      </c>
      <c r="M216" s="40"/>
      <c r="N216" s="49">
        <f t="shared" si="37"/>
        <v>4.5129000000000001</v>
      </c>
      <c r="O216" s="40">
        <v>1</v>
      </c>
      <c r="P216" s="57">
        <f t="shared" si="36"/>
        <v>5.5129000000000001</v>
      </c>
    </row>
    <row r="217" spans="2:16" ht="18.75" customHeight="1">
      <c r="B217" s="265"/>
      <c r="C217" s="40" t="s">
        <v>1002</v>
      </c>
      <c r="D217" s="40" t="s">
        <v>875</v>
      </c>
      <c r="E217" s="40"/>
      <c r="F217" s="55">
        <v>18</v>
      </c>
      <c r="G217" s="55">
        <v>1500</v>
      </c>
      <c r="H217" s="55">
        <v>921</v>
      </c>
      <c r="I217" s="40">
        <v>1</v>
      </c>
      <c r="J217" s="42">
        <f>H217*0.001*I217</f>
        <v>0.92100000000000004</v>
      </c>
      <c r="K217" s="40" t="s">
        <v>886</v>
      </c>
      <c r="L217" s="40">
        <f>VLOOKUP(F217,BM!$A$2:$X$57,18,FALSE)</f>
        <v>1</v>
      </c>
      <c r="M217" s="40"/>
      <c r="N217" s="49">
        <f t="shared" si="37"/>
        <v>0.92100000000000004</v>
      </c>
      <c r="O217" s="40">
        <v>1</v>
      </c>
      <c r="P217" s="57">
        <f t="shared" si="36"/>
        <v>1.921</v>
      </c>
    </row>
    <row r="218" spans="2:16" ht="18.75" customHeight="1">
      <c r="B218" s="265"/>
      <c r="C218" s="40" t="s">
        <v>1003</v>
      </c>
      <c r="D218" s="40" t="s">
        <v>875</v>
      </c>
      <c r="E218" s="40"/>
      <c r="F218" s="55">
        <v>18</v>
      </c>
      <c r="G218" s="55">
        <v>1500</v>
      </c>
      <c r="H218" s="55">
        <v>921</v>
      </c>
      <c r="I218" s="40">
        <v>1</v>
      </c>
      <c r="J218" s="42">
        <f>H218*0.001*I218</f>
        <v>0.92100000000000004</v>
      </c>
      <c r="K218" s="40" t="s">
        <v>249</v>
      </c>
      <c r="L218" s="40">
        <f>VLOOKUP(F218,BM!$A$2:$X$57,12,FALSE)</f>
        <v>4.9000000000000004</v>
      </c>
      <c r="M218" s="40"/>
      <c r="N218" s="49">
        <f t="shared" si="37"/>
        <v>4.5129000000000001</v>
      </c>
      <c r="O218" s="40">
        <v>1</v>
      </c>
      <c r="P218" s="57">
        <f t="shared" si="36"/>
        <v>5.5129000000000001</v>
      </c>
    </row>
    <row r="219" spans="2:16" ht="18.75" customHeight="1">
      <c r="B219" s="265"/>
      <c r="C219" s="40" t="s">
        <v>1004</v>
      </c>
      <c r="D219" s="40" t="s">
        <v>875</v>
      </c>
      <c r="E219" s="40"/>
      <c r="F219" s="55">
        <v>18</v>
      </c>
      <c r="G219" s="55">
        <v>1500</v>
      </c>
      <c r="H219" s="55">
        <v>921</v>
      </c>
      <c r="I219" s="40">
        <v>1</v>
      </c>
      <c r="J219" s="42">
        <f>H219*0.001*I219</f>
        <v>0.92100000000000004</v>
      </c>
      <c r="K219" s="40" t="s">
        <v>886</v>
      </c>
      <c r="L219" s="40">
        <f>VLOOKUP(F219,BM!$A$2:$X$57,20,FALSE)</f>
        <v>0.5</v>
      </c>
      <c r="M219" s="40"/>
      <c r="N219" s="49">
        <f t="shared" si="37"/>
        <v>0.46050000000000002</v>
      </c>
      <c r="O219" s="40">
        <v>1</v>
      </c>
      <c r="P219" s="57">
        <f t="shared" si="36"/>
        <v>1.4605000000000001</v>
      </c>
    </row>
    <row r="220" spans="2:16" ht="18.75" customHeight="1">
      <c r="B220" s="265"/>
      <c r="C220" s="40" t="s">
        <v>1005</v>
      </c>
      <c r="D220" s="40" t="s">
        <v>875</v>
      </c>
      <c r="E220" s="40" t="s">
        <v>581</v>
      </c>
      <c r="F220" s="55">
        <v>18</v>
      </c>
      <c r="G220" s="55">
        <v>1500</v>
      </c>
      <c r="H220" s="55">
        <v>921</v>
      </c>
      <c r="I220" s="40">
        <v>1</v>
      </c>
      <c r="J220" s="42">
        <v>1</v>
      </c>
      <c r="K220" s="40" t="s">
        <v>39</v>
      </c>
      <c r="L220" s="40">
        <f>VLOOKUP(F220,BM!$A$2:$X$57,20,FALSE)</f>
        <v>0.5</v>
      </c>
      <c r="M220" s="40"/>
      <c r="N220" s="49">
        <f t="shared" si="37"/>
        <v>0.5</v>
      </c>
      <c r="O220" s="40">
        <v>1</v>
      </c>
      <c r="P220" s="57">
        <f t="shared" si="36"/>
        <v>1.5</v>
      </c>
    </row>
    <row r="221" spans="2:16" ht="18.75" customHeight="1">
      <c r="B221" s="266"/>
      <c r="C221" s="40" t="s">
        <v>1006</v>
      </c>
      <c r="D221" s="40" t="s">
        <v>875</v>
      </c>
      <c r="E221" s="40" t="s">
        <v>581</v>
      </c>
      <c r="F221" s="55">
        <v>18</v>
      </c>
      <c r="G221" s="55">
        <v>1500</v>
      </c>
      <c r="H221" s="55">
        <v>921</v>
      </c>
      <c r="I221" s="40">
        <v>1</v>
      </c>
      <c r="J221" s="42">
        <v>1</v>
      </c>
      <c r="K221" s="40" t="s">
        <v>39</v>
      </c>
      <c r="L221" s="40">
        <v>1</v>
      </c>
      <c r="M221" s="40"/>
      <c r="N221" s="49">
        <f t="shared" si="37"/>
        <v>1</v>
      </c>
      <c r="O221" s="40"/>
      <c r="P221" s="57">
        <f t="shared" si="36"/>
        <v>1</v>
      </c>
    </row>
    <row r="222" spans="2:16" ht="18.75" customHeight="1">
      <c r="C222" s="34"/>
      <c r="D222" s="34"/>
      <c r="E222" s="34"/>
    </row>
    <row r="223" spans="2:16" ht="18.75" customHeight="1">
      <c r="C223" s="37" t="s">
        <v>866</v>
      </c>
      <c r="D223" s="38" t="s">
        <v>867</v>
      </c>
      <c r="E223" s="38"/>
      <c r="F223" s="39" t="s">
        <v>2</v>
      </c>
      <c r="G223" s="39" t="s">
        <v>908</v>
      </c>
      <c r="H223" s="39" t="s">
        <v>909</v>
      </c>
      <c r="I223" s="39" t="s">
        <v>4</v>
      </c>
      <c r="J223" s="39" t="s">
        <v>870</v>
      </c>
      <c r="K223" s="39" t="s">
        <v>5</v>
      </c>
      <c r="L223" s="39" t="s">
        <v>871</v>
      </c>
      <c r="M223" s="39" t="s">
        <v>5</v>
      </c>
      <c r="N223" s="39" t="s">
        <v>870</v>
      </c>
      <c r="O223" s="39" t="s">
        <v>872</v>
      </c>
      <c r="P223" s="39" t="s">
        <v>873</v>
      </c>
    </row>
    <row r="224" spans="2:16" ht="18.75" customHeight="1">
      <c r="B224" s="264" t="s">
        <v>1153</v>
      </c>
      <c r="C224" s="40" t="s">
        <v>1007</v>
      </c>
      <c r="D224" s="40" t="s">
        <v>875</v>
      </c>
      <c r="E224" s="40"/>
      <c r="F224" s="55">
        <v>18</v>
      </c>
      <c r="G224" s="55">
        <v>1500</v>
      </c>
      <c r="H224" s="55">
        <v>921</v>
      </c>
      <c r="I224" s="40">
        <v>1</v>
      </c>
      <c r="J224" s="42">
        <f>H224*0.001*I224</f>
        <v>0.92100000000000004</v>
      </c>
      <c r="K224" s="40" t="s">
        <v>886</v>
      </c>
      <c r="L224" s="40">
        <f>VLOOKUP(F224,BM!$A$2:$X$57,13,FALSE)</f>
        <v>0.45</v>
      </c>
      <c r="M224" s="40"/>
      <c r="N224" s="49">
        <f t="shared" si="37"/>
        <v>0.41445000000000004</v>
      </c>
      <c r="O224" s="40">
        <v>11</v>
      </c>
      <c r="P224" s="57">
        <f t="shared" si="36"/>
        <v>11.41445</v>
      </c>
    </row>
    <row r="225" spans="2:16" ht="18.75" customHeight="1">
      <c r="B225" s="265"/>
      <c r="C225" s="40" t="s">
        <v>1008</v>
      </c>
      <c r="D225" s="40" t="s">
        <v>875</v>
      </c>
      <c r="E225" s="40"/>
      <c r="F225" s="55">
        <v>18</v>
      </c>
      <c r="G225" s="55">
        <v>1500</v>
      </c>
      <c r="H225" s="55">
        <v>921</v>
      </c>
      <c r="I225" s="40">
        <v>2</v>
      </c>
      <c r="J225" s="46">
        <f>(F225+G225)*3.142*0.001*I225</f>
        <v>9.5391119999999994</v>
      </c>
      <c r="K225" s="40" t="s">
        <v>886</v>
      </c>
      <c r="L225" s="40">
        <f>VLOOKUP(F225,BM!$A$2:$X$57,16,FALSE)</f>
        <v>1</v>
      </c>
      <c r="M225" s="40"/>
      <c r="N225" s="49">
        <f t="shared" si="37"/>
        <v>9.5391119999999994</v>
      </c>
      <c r="O225" s="40">
        <v>1</v>
      </c>
      <c r="P225" s="57">
        <f t="shared" si="36"/>
        <v>10.539111999999999</v>
      </c>
    </row>
    <row r="226" spans="2:16" ht="18.75" customHeight="1">
      <c r="B226" s="265"/>
      <c r="C226" s="40" t="s">
        <v>1009</v>
      </c>
      <c r="D226" s="40" t="s">
        <v>875</v>
      </c>
      <c r="E226" s="40"/>
      <c r="F226" s="55">
        <v>12</v>
      </c>
      <c r="G226" s="55">
        <v>1500</v>
      </c>
      <c r="H226" s="55">
        <v>921</v>
      </c>
      <c r="I226" s="40">
        <v>2</v>
      </c>
      <c r="J226" s="46">
        <f>(F226+G226)*3.142*0.001*I226</f>
        <v>9.5014079999999996</v>
      </c>
      <c r="K226" s="40" t="s">
        <v>886</v>
      </c>
      <c r="L226" s="40">
        <f>VLOOKUP(F226,BM!$A$2:$X$57,17,FALSE)</f>
        <v>2.5</v>
      </c>
      <c r="M226" s="40"/>
      <c r="N226" s="49">
        <f t="shared" si="37"/>
        <v>23.753519999999998</v>
      </c>
      <c r="O226" s="40">
        <v>1</v>
      </c>
      <c r="P226" s="57">
        <f t="shared" si="36"/>
        <v>24.753519999999998</v>
      </c>
    </row>
    <row r="227" spans="2:16" ht="18.75" customHeight="1">
      <c r="B227" s="265"/>
      <c r="C227" s="40" t="s">
        <v>1010</v>
      </c>
      <c r="D227" s="40" t="s">
        <v>875</v>
      </c>
      <c r="E227" s="40"/>
      <c r="F227" s="55">
        <v>18</v>
      </c>
      <c r="G227" s="55">
        <v>1500</v>
      </c>
      <c r="H227" s="55">
        <v>921</v>
      </c>
      <c r="I227" s="40">
        <v>2</v>
      </c>
      <c r="J227" s="46">
        <f>(F227+G227)*3.142*0.001*I227</f>
        <v>9.5391119999999994</v>
      </c>
      <c r="K227" s="40" t="s">
        <v>886</v>
      </c>
      <c r="L227" s="40">
        <f>VLOOKUP(F227,BM!$A$2:$X$57,18,FALSE)</f>
        <v>1</v>
      </c>
      <c r="M227" s="40"/>
      <c r="N227" s="49">
        <f t="shared" si="37"/>
        <v>9.5391119999999994</v>
      </c>
      <c r="O227" s="40">
        <v>1</v>
      </c>
      <c r="P227" s="57">
        <f t="shared" si="36"/>
        <v>10.539111999999999</v>
      </c>
    </row>
    <row r="228" spans="2:16" ht="18.75" customHeight="1">
      <c r="B228" s="265"/>
      <c r="C228" s="40" t="s">
        <v>1011</v>
      </c>
      <c r="D228" s="40" t="s">
        <v>875</v>
      </c>
      <c r="E228" s="40"/>
      <c r="F228" s="55">
        <v>8</v>
      </c>
      <c r="G228" s="55">
        <v>1500</v>
      </c>
      <c r="H228" s="55">
        <v>921</v>
      </c>
      <c r="I228" s="40">
        <v>2</v>
      </c>
      <c r="J228" s="46">
        <f>(F228+G228)*3.142*0.001*I228</f>
        <v>9.4762719999999998</v>
      </c>
      <c r="K228" s="40" t="s">
        <v>886</v>
      </c>
      <c r="L228" s="40">
        <f>VLOOKUP(F228,BM!$A$2:$X$57,18,FALSE)</f>
        <v>1</v>
      </c>
      <c r="M228" s="40"/>
      <c r="N228" s="49">
        <f t="shared" si="37"/>
        <v>9.4762719999999998</v>
      </c>
      <c r="O228" s="40">
        <v>1</v>
      </c>
      <c r="P228" s="57">
        <f t="shared" si="36"/>
        <v>10.476272</v>
      </c>
    </row>
    <row r="229" spans="2:16" ht="18.75" customHeight="1">
      <c r="B229" s="265"/>
      <c r="C229" s="40" t="s">
        <v>1012</v>
      </c>
      <c r="D229" s="40" t="s">
        <v>875</v>
      </c>
      <c r="E229" s="40"/>
      <c r="F229" s="55">
        <v>18</v>
      </c>
      <c r="G229" s="55">
        <v>1500</v>
      </c>
      <c r="H229" s="55">
        <v>921</v>
      </c>
      <c r="I229" s="40">
        <v>2</v>
      </c>
      <c r="J229" s="46">
        <f>(F229+G229)*3.142*0.001*I229</f>
        <v>9.5391119999999994</v>
      </c>
      <c r="K229" s="40" t="s">
        <v>886</v>
      </c>
      <c r="L229" s="40">
        <f>VLOOKUP(F229,BM!$A$2:$X$57,20,FALSE)</f>
        <v>0.5</v>
      </c>
      <c r="M229" s="40"/>
      <c r="N229" s="49">
        <f t="shared" si="37"/>
        <v>4.7695559999999997</v>
      </c>
      <c r="O229" s="40">
        <v>1</v>
      </c>
      <c r="P229" s="57">
        <f t="shared" si="36"/>
        <v>5.7695559999999997</v>
      </c>
    </row>
    <row r="230" spans="2:16" ht="18.75" customHeight="1">
      <c r="B230" s="266"/>
      <c r="C230" s="40" t="s">
        <v>1013</v>
      </c>
      <c r="D230" s="40" t="s">
        <v>875</v>
      </c>
      <c r="E230" s="40" t="s">
        <v>581</v>
      </c>
      <c r="F230" s="55">
        <v>18</v>
      </c>
      <c r="G230" s="55">
        <v>1500</v>
      </c>
      <c r="H230" s="55">
        <v>921</v>
      </c>
      <c r="I230" s="40">
        <v>2</v>
      </c>
      <c r="J230" s="42">
        <v>1</v>
      </c>
      <c r="K230" s="40" t="s">
        <v>564</v>
      </c>
      <c r="L230" s="40">
        <v>1</v>
      </c>
      <c r="M230" s="40"/>
      <c r="N230" s="49"/>
      <c r="O230" s="40"/>
      <c r="P230" s="57" t="s">
        <v>902</v>
      </c>
    </row>
    <row r="231" spans="2:16" ht="18.75" customHeight="1">
      <c r="C231" s="34"/>
      <c r="D231" s="34"/>
      <c r="E231" s="34"/>
    </row>
    <row r="232" spans="2:16" ht="18.75" customHeight="1">
      <c r="C232" s="37" t="s">
        <v>866</v>
      </c>
      <c r="D232" s="38" t="s">
        <v>867</v>
      </c>
      <c r="E232" s="38"/>
      <c r="F232" s="39" t="s">
        <v>2</v>
      </c>
      <c r="G232" s="39" t="s">
        <v>908</v>
      </c>
      <c r="H232" s="39" t="s">
        <v>909</v>
      </c>
      <c r="I232" s="39" t="s">
        <v>4</v>
      </c>
      <c r="J232" s="39" t="s">
        <v>870</v>
      </c>
      <c r="K232" s="39" t="s">
        <v>5</v>
      </c>
      <c r="L232" s="39" t="s">
        <v>871</v>
      </c>
      <c r="M232" s="39" t="s">
        <v>5</v>
      </c>
      <c r="N232" s="39" t="s">
        <v>870</v>
      </c>
      <c r="O232" s="39" t="s">
        <v>872</v>
      </c>
      <c r="P232" s="39" t="s">
        <v>873</v>
      </c>
    </row>
    <row r="233" spans="2:16" ht="18.75" customHeight="1">
      <c r="B233" s="261" t="s">
        <v>1154</v>
      </c>
      <c r="C233" s="40" t="s">
        <v>1014</v>
      </c>
      <c r="D233" s="40" t="s">
        <v>875</v>
      </c>
      <c r="E233" s="40"/>
      <c r="F233" s="55">
        <v>18</v>
      </c>
      <c r="G233" s="55">
        <v>1500</v>
      </c>
      <c r="H233" s="55">
        <v>921</v>
      </c>
      <c r="I233" s="40">
        <v>1</v>
      </c>
      <c r="J233" s="42">
        <v>1</v>
      </c>
      <c r="K233" s="40" t="s">
        <v>564</v>
      </c>
      <c r="L233" s="40">
        <v>3</v>
      </c>
      <c r="M233" s="40"/>
      <c r="N233" s="49">
        <f t="shared" ref="N233:N281" si="40">J233*L233</f>
        <v>3</v>
      </c>
      <c r="O233" s="40">
        <v>1</v>
      </c>
      <c r="P233" s="57">
        <v>3</v>
      </c>
    </row>
    <row r="234" spans="2:16" ht="18.75" customHeight="1">
      <c r="B234" s="262"/>
      <c r="C234" s="40" t="s">
        <v>1015</v>
      </c>
      <c r="D234" s="40" t="s">
        <v>581</v>
      </c>
      <c r="E234" s="40"/>
      <c r="F234" s="40" t="s">
        <v>695</v>
      </c>
      <c r="G234" s="40">
        <v>1500</v>
      </c>
      <c r="H234" s="40">
        <v>921</v>
      </c>
      <c r="I234" s="40">
        <v>2</v>
      </c>
      <c r="J234" s="42">
        <v>2</v>
      </c>
      <c r="K234" s="40" t="s">
        <v>564</v>
      </c>
      <c r="L234" s="40">
        <v>4</v>
      </c>
      <c r="M234" s="40"/>
      <c r="N234" s="49">
        <f t="shared" si="40"/>
        <v>8</v>
      </c>
      <c r="O234" s="40">
        <v>1</v>
      </c>
      <c r="P234" s="57">
        <f t="shared" ref="P234:P281" si="41">N234+O234</f>
        <v>9</v>
      </c>
    </row>
    <row r="235" spans="2:16" ht="18.75" customHeight="1">
      <c r="B235" s="262"/>
      <c r="C235" s="40" t="s">
        <v>1016</v>
      </c>
      <c r="D235" s="40" t="s">
        <v>581</v>
      </c>
      <c r="E235" s="40"/>
      <c r="F235" s="40" t="s">
        <v>695</v>
      </c>
      <c r="G235" s="55">
        <v>1500</v>
      </c>
      <c r="H235" s="55">
        <v>921</v>
      </c>
      <c r="I235" s="40">
        <v>2</v>
      </c>
      <c r="J235" s="42">
        <v>2</v>
      </c>
      <c r="K235" s="40" t="s">
        <v>564</v>
      </c>
      <c r="L235" s="40">
        <v>4</v>
      </c>
      <c r="M235" s="40"/>
      <c r="N235" s="49">
        <f t="shared" si="40"/>
        <v>8</v>
      </c>
      <c r="O235" s="40">
        <v>1</v>
      </c>
      <c r="P235" s="57">
        <f t="shared" si="41"/>
        <v>9</v>
      </c>
    </row>
    <row r="236" spans="2:16" ht="18.75" customHeight="1">
      <c r="B236" s="262"/>
      <c r="C236" s="40" t="s">
        <v>1017</v>
      </c>
      <c r="D236" s="40"/>
      <c r="E236" s="40"/>
      <c r="F236" s="55">
        <v>18</v>
      </c>
      <c r="G236" s="55">
        <v>1500</v>
      </c>
      <c r="H236" s="55">
        <v>921</v>
      </c>
      <c r="I236" s="40">
        <v>2</v>
      </c>
      <c r="J236" s="58">
        <f>16*25.4*3.142*0.001*I236</f>
        <v>2.5538175999999999</v>
      </c>
      <c r="K236" s="40" t="s">
        <v>886</v>
      </c>
      <c r="L236" s="40">
        <f>VLOOKUP(F236,BM!$A$2:$X$57,23,FALSE)</f>
        <v>6.8</v>
      </c>
      <c r="M236" s="40"/>
      <c r="N236" s="49">
        <f t="shared" si="40"/>
        <v>17.36595968</v>
      </c>
      <c r="O236" s="40">
        <v>1</v>
      </c>
      <c r="P236" s="57">
        <f t="shared" si="41"/>
        <v>18.36595968</v>
      </c>
    </row>
    <row r="237" spans="2:16" ht="18.75" customHeight="1">
      <c r="B237" s="262"/>
      <c r="C237" s="40" t="s">
        <v>1018</v>
      </c>
      <c r="D237" s="40"/>
      <c r="E237" s="40"/>
      <c r="F237" s="55">
        <v>18</v>
      </c>
      <c r="G237" s="55">
        <v>1500</v>
      </c>
      <c r="H237" s="55">
        <v>921</v>
      </c>
      <c r="I237" s="40">
        <v>2</v>
      </c>
      <c r="J237" s="58">
        <f>16*25.4*3.142*0.001*I237</f>
        <v>2.5538175999999999</v>
      </c>
      <c r="K237" s="40" t="s">
        <v>886</v>
      </c>
      <c r="L237" s="40">
        <f>VLOOKUP(F237,BM!$A$2:$X$57,18,FALSE)</f>
        <v>1</v>
      </c>
      <c r="M237" s="40"/>
      <c r="N237" s="49">
        <f t="shared" si="40"/>
        <v>2.5538175999999999</v>
      </c>
      <c r="O237" s="40">
        <v>1</v>
      </c>
      <c r="P237" s="57">
        <f t="shared" si="41"/>
        <v>3.5538175999999999</v>
      </c>
    </row>
    <row r="238" spans="2:16" ht="18.75" customHeight="1">
      <c r="B238" s="262"/>
      <c r="C238" s="40" t="s">
        <v>1019</v>
      </c>
      <c r="D238" s="40"/>
      <c r="E238" s="40"/>
      <c r="F238" s="55">
        <v>10</v>
      </c>
      <c r="G238" s="55">
        <v>1500</v>
      </c>
      <c r="H238" s="55">
        <v>921</v>
      </c>
      <c r="I238" s="40">
        <v>2</v>
      </c>
      <c r="J238" s="58">
        <f>16*25.4*3.142*0.001*I238</f>
        <v>2.5538175999999999</v>
      </c>
      <c r="K238" s="40" t="s">
        <v>886</v>
      </c>
      <c r="L238" s="40">
        <f>VLOOKUP(F238,BM!$A$2:$X$57,22,FALSE)</f>
        <v>1.2</v>
      </c>
      <c r="M238" s="40"/>
      <c r="N238" s="49">
        <f t="shared" si="40"/>
        <v>3.0645811199999997</v>
      </c>
      <c r="O238" s="40">
        <v>1</v>
      </c>
      <c r="P238" s="57">
        <f t="shared" si="41"/>
        <v>4.0645811199999997</v>
      </c>
    </row>
    <row r="239" spans="2:16" ht="18.75" customHeight="1">
      <c r="B239" s="263"/>
      <c r="C239" s="40" t="s">
        <v>1020</v>
      </c>
      <c r="D239" s="40"/>
      <c r="E239" s="40"/>
      <c r="F239" s="55">
        <v>8</v>
      </c>
      <c r="G239" s="55">
        <v>1500</v>
      </c>
      <c r="H239" s="55">
        <v>921</v>
      </c>
      <c r="I239" s="40">
        <v>2</v>
      </c>
      <c r="J239" s="58">
        <f>16*25.4*3.142*0.001*I239</f>
        <v>2.5538175999999999</v>
      </c>
      <c r="K239" s="40" t="s">
        <v>886</v>
      </c>
      <c r="L239" s="40">
        <f>VLOOKUP(F239,BM!$A$2:$X$57,20,FALSE)</f>
        <v>0.5</v>
      </c>
      <c r="M239" s="40"/>
      <c r="N239" s="49">
        <f t="shared" ref="N239" si="42">J239*L239</f>
        <v>1.2769088</v>
      </c>
      <c r="O239" s="40">
        <v>1</v>
      </c>
      <c r="P239" s="57">
        <f t="shared" ref="P239" si="43">N239+O239</f>
        <v>2.2769088000000002</v>
      </c>
    </row>
    <row r="240" spans="2:16" ht="18.75" customHeight="1">
      <c r="C240" s="34"/>
      <c r="D240" s="34"/>
      <c r="E240" s="34"/>
    </row>
    <row r="241" spans="2:16" ht="18.75" customHeight="1">
      <c r="C241" s="34"/>
      <c r="D241" s="34"/>
      <c r="E241" s="34"/>
    </row>
    <row r="242" spans="2:16" ht="18.75" customHeight="1">
      <c r="C242" s="37" t="s">
        <v>866</v>
      </c>
      <c r="D242" s="38" t="s">
        <v>867</v>
      </c>
      <c r="E242" s="38"/>
      <c r="F242" s="39" t="s">
        <v>2</v>
      </c>
      <c r="G242" s="39" t="s">
        <v>908</v>
      </c>
      <c r="H242" s="39" t="s">
        <v>909</v>
      </c>
      <c r="I242" s="39" t="s">
        <v>4</v>
      </c>
      <c r="J242" s="39" t="s">
        <v>870</v>
      </c>
      <c r="K242" s="39" t="s">
        <v>5</v>
      </c>
      <c r="L242" s="39" t="s">
        <v>871</v>
      </c>
      <c r="M242" s="39" t="s">
        <v>5</v>
      </c>
      <c r="N242" s="39" t="s">
        <v>870</v>
      </c>
      <c r="O242" s="39" t="s">
        <v>872</v>
      </c>
      <c r="P242" s="39" t="s">
        <v>873</v>
      </c>
    </row>
    <row r="243" spans="2:16" ht="18.75" customHeight="1">
      <c r="B243" s="261" t="s">
        <v>1155</v>
      </c>
      <c r="C243" s="40" t="s">
        <v>1021</v>
      </c>
      <c r="D243" s="40" t="s">
        <v>875</v>
      </c>
      <c r="E243" s="40"/>
      <c r="F243" s="55">
        <v>25</v>
      </c>
      <c r="G243" s="55">
        <v>735</v>
      </c>
      <c r="H243" s="56">
        <v>1275</v>
      </c>
      <c r="I243" s="55">
        <v>1</v>
      </c>
      <c r="J243" s="46">
        <f>(G243*2*0.001+H243*2*0.001)*I243</f>
        <v>4.0200000000000005</v>
      </c>
      <c r="K243" s="40" t="s">
        <v>886</v>
      </c>
      <c r="L243" s="40">
        <f>VLOOKUP(F243,BM!$A$2:$X$57,2,FALSE)</f>
        <v>0.1</v>
      </c>
      <c r="M243" s="40" t="s">
        <v>911</v>
      </c>
      <c r="N243" s="49">
        <f>J243*L243</f>
        <v>0.40200000000000008</v>
      </c>
      <c r="O243" s="40">
        <v>1</v>
      </c>
      <c r="P243" s="57">
        <f>N243+O243</f>
        <v>1.4020000000000001</v>
      </c>
    </row>
    <row r="244" spans="2:16" ht="18.75" customHeight="1">
      <c r="B244" s="262"/>
      <c r="C244" s="40" t="s">
        <v>1021</v>
      </c>
      <c r="D244" s="40" t="s">
        <v>875</v>
      </c>
      <c r="E244" s="40"/>
      <c r="F244" s="55">
        <v>25</v>
      </c>
      <c r="G244" s="55">
        <v>1080</v>
      </c>
      <c r="H244" s="56">
        <v>1275</v>
      </c>
      <c r="I244" s="55">
        <v>1</v>
      </c>
      <c r="J244" s="46">
        <f t="shared" ref="J244:J246" si="44">(G244*2*0.001+H244*2*0.001)*I244</f>
        <v>4.7100000000000009</v>
      </c>
      <c r="K244" s="40" t="s">
        <v>886</v>
      </c>
      <c r="L244" s="40">
        <f>VLOOKUP(F244,BM!$A$2:$X$57,2,FALSE)</f>
        <v>0.1</v>
      </c>
      <c r="M244" s="40" t="s">
        <v>911</v>
      </c>
      <c r="N244" s="49">
        <f t="shared" ref="N244:N249" si="45">J244*L244</f>
        <v>0.47100000000000009</v>
      </c>
      <c r="O244" s="40">
        <v>1</v>
      </c>
      <c r="P244" s="57">
        <f t="shared" ref="P244:P249" si="46">N244+O244</f>
        <v>1.4710000000000001</v>
      </c>
    </row>
    <row r="245" spans="2:16" ht="18.75" customHeight="1">
      <c r="B245" s="262"/>
      <c r="C245" s="40" t="s">
        <v>1021</v>
      </c>
      <c r="D245" s="40" t="s">
        <v>875</v>
      </c>
      <c r="E245" s="40"/>
      <c r="F245" s="55">
        <v>25</v>
      </c>
      <c r="G245" s="55">
        <v>543</v>
      </c>
      <c r="H245" s="56">
        <v>1275</v>
      </c>
      <c r="I245" s="55">
        <v>1</v>
      </c>
      <c r="J245" s="46">
        <f t="shared" si="44"/>
        <v>3.6360000000000001</v>
      </c>
      <c r="K245" s="40" t="s">
        <v>886</v>
      </c>
      <c r="L245" s="40">
        <f>VLOOKUP(F245,BM!$A$2:$X$57,2,FALSE)</f>
        <v>0.1</v>
      </c>
      <c r="M245" s="40" t="s">
        <v>911</v>
      </c>
      <c r="N245" s="49">
        <f t="shared" si="45"/>
        <v>0.36360000000000003</v>
      </c>
      <c r="O245" s="40">
        <v>1</v>
      </c>
      <c r="P245" s="57">
        <f t="shared" si="46"/>
        <v>1.3635999999999999</v>
      </c>
    </row>
    <row r="246" spans="2:16" ht="18.75" customHeight="1">
      <c r="B246" s="262"/>
      <c r="C246" s="40" t="s">
        <v>1021</v>
      </c>
      <c r="D246" s="40" t="s">
        <v>875</v>
      </c>
      <c r="E246" s="40"/>
      <c r="F246" s="55">
        <v>25</v>
      </c>
      <c r="G246" s="55">
        <v>522</v>
      </c>
      <c r="H246" s="56">
        <v>1275</v>
      </c>
      <c r="I246" s="55">
        <v>1</v>
      </c>
      <c r="J246" s="46">
        <f t="shared" si="44"/>
        <v>3.5940000000000003</v>
      </c>
      <c r="K246" s="40" t="s">
        <v>886</v>
      </c>
      <c r="L246" s="40">
        <f>VLOOKUP(F246,BM!$A$2:$X$57,2,FALSE)</f>
        <v>0.1</v>
      </c>
      <c r="M246" s="40" t="s">
        <v>911</v>
      </c>
      <c r="N246" s="49">
        <f t="shared" si="45"/>
        <v>0.35940000000000005</v>
      </c>
      <c r="O246" s="40">
        <v>1</v>
      </c>
      <c r="P246" s="57">
        <f t="shared" si="46"/>
        <v>1.3593999999999999</v>
      </c>
    </row>
    <row r="247" spans="2:16" ht="18.75" customHeight="1">
      <c r="B247" s="262"/>
      <c r="C247" s="40" t="s">
        <v>1022</v>
      </c>
      <c r="D247" s="40" t="s">
        <v>875</v>
      </c>
      <c r="E247" s="40"/>
      <c r="F247" s="55">
        <v>25</v>
      </c>
      <c r="G247" s="55"/>
      <c r="H247" s="56"/>
      <c r="I247" s="55"/>
      <c r="J247" s="59">
        <f>SUM(J243:J246)</f>
        <v>15.96</v>
      </c>
      <c r="K247" s="40" t="s">
        <v>886</v>
      </c>
      <c r="L247" s="40">
        <f>VLOOKUP(F247,BM!$A$2:$X$57,3,FALSE)</f>
        <v>0.25</v>
      </c>
      <c r="M247" s="40" t="s">
        <v>911</v>
      </c>
      <c r="N247" s="49">
        <f t="shared" si="45"/>
        <v>3.99</v>
      </c>
      <c r="O247" s="40">
        <v>1</v>
      </c>
      <c r="P247" s="57">
        <f t="shared" si="46"/>
        <v>4.99</v>
      </c>
    </row>
    <row r="248" spans="2:16" ht="18.75" customHeight="1">
      <c r="B248" s="262"/>
      <c r="C248" s="40" t="s">
        <v>1023</v>
      </c>
      <c r="D248" s="40" t="s">
        <v>875</v>
      </c>
      <c r="E248" s="40"/>
      <c r="F248" s="55">
        <v>25</v>
      </c>
      <c r="G248" s="55"/>
      <c r="H248" s="56"/>
      <c r="I248" s="55">
        <v>1</v>
      </c>
      <c r="J248" s="59">
        <f>J247</f>
        <v>15.96</v>
      </c>
      <c r="K248" s="40" t="s">
        <v>886</v>
      </c>
      <c r="L248" s="40">
        <f>VLOOKUP(F248,BM!$A$2:$X$57,4,FALSE)</f>
        <v>0.15</v>
      </c>
      <c r="M248" s="40" t="s">
        <v>911</v>
      </c>
      <c r="N248" s="49">
        <f t="shared" si="45"/>
        <v>2.3940000000000001</v>
      </c>
      <c r="O248" s="40">
        <v>1</v>
      </c>
      <c r="P248" s="57">
        <f t="shared" si="46"/>
        <v>3.3940000000000001</v>
      </c>
    </row>
    <row r="249" spans="2:16" ht="18.75" customHeight="1">
      <c r="B249" s="262"/>
      <c r="C249" s="40" t="s">
        <v>1024</v>
      </c>
      <c r="D249" s="40" t="s">
        <v>875</v>
      </c>
      <c r="E249" s="40" t="s">
        <v>581</v>
      </c>
      <c r="F249" s="55">
        <v>25</v>
      </c>
      <c r="G249" s="55"/>
      <c r="H249" s="56"/>
      <c r="I249" s="55"/>
      <c r="J249" s="46">
        <v>4</v>
      </c>
      <c r="K249" s="40" t="s">
        <v>81</v>
      </c>
      <c r="L249" s="40">
        <v>2</v>
      </c>
      <c r="M249" s="40" t="s">
        <v>39</v>
      </c>
      <c r="N249" s="49">
        <f t="shared" si="45"/>
        <v>8</v>
      </c>
      <c r="O249" s="40">
        <v>1</v>
      </c>
      <c r="P249" s="57">
        <f t="shared" si="46"/>
        <v>9</v>
      </c>
    </row>
    <row r="250" spans="2:16" ht="18.75" customHeight="1">
      <c r="B250" s="262"/>
      <c r="C250" s="40" t="s">
        <v>1025</v>
      </c>
      <c r="D250" s="40" t="s">
        <v>875</v>
      </c>
      <c r="E250" s="40"/>
      <c r="F250" s="55">
        <v>16</v>
      </c>
      <c r="G250" s="55"/>
      <c r="H250" s="56">
        <v>1291</v>
      </c>
      <c r="I250" s="55">
        <v>8</v>
      </c>
      <c r="J250" s="46">
        <f>H250*I250*0.001</f>
        <v>10.327999999999999</v>
      </c>
      <c r="K250" s="40" t="s">
        <v>886</v>
      </c>
      <c r="L250" s="40">
        <f>VLOOKUP(F250,BM!$A$2:$X$57,23,FALSE)</f>
        <v>5.6</v>
      </c>
      <c r="M250" s="40" t="s">
        <v>911</v>
      </c>
      <c r="N250" s="49">
        <f t="shared" ref="N250:N253" si="47">J250*L250</f>
        <v>57.83679999999999</v>
      </c>
      <c r="O250" s="40">
        <v>1</v>
      </c>
      <c r="P250" s="57">
        <f t="shared" ref="P250:P253" si="48">N250+O250</f>
        <v>58.83679999999999</v>
      </c>
    </row>
    <row r="251" spans="2:16" ht="18.75" customHeight="1">
      <c r="B251" s="262"/>
      <c r="C251" s="40" t="s">
        <v>947</v>
      </c>
      <c r="D251" s="40"/>
      <c r="E251" s="41" t="s">
        <v>581</v>
      </c>
      <c r="F251" s="50"/>
      <c r="G251" s="50"/>
      <c r="H251" s="50"/>
      <c r="I251" s="50"/>
      <c r="J251" s="45">
        <v>1</v>
      </c>
      <c r="K251" s="45" t="s">
        <v>81</v>
      </c>
      <c r="L251" s="49">
        <v>6</v>
      </c>
      <c r="M251" s="40" t="s">
        <v>87</v>
      </c>
      <c r="N251" s="46">
        <f t="shared" si="47"/>
        <v>6</v>
      </c>
      <c r="O251" s="46">
        <v>1</v>
      </c>
      <c r="P251" s="46">
        <f t="shared" si="48"/>
        <v>7</v>
      </c>
    </row>
    <row r="252" spans="2:16" ht="18.75" customHeight="1">
      <c r="B252" s="262"/>
      <c r="C252" s="40" t="s">
        <v>948</v>
      </c>
      <c r="D252" s="40"/>
      <c r="E252" s="41" t="s">
        <v>581</v>
      </c>
      <c r="F252" s="50">
        <v>12</v>
      </c>
      <c r="G252" s="50"/>
      <c r="H252" s="50"/>
      <c r="I252" s="50"/>
      <c r="J252" s="45">
        <v>1</v>
      </c>
      <c r="K252" s="45" t="s">
        <v>81</v>
      </c>
      <c r="L252" s="49">
        <v>4</v>
      </c>
      <c r="M252" s="40" t="s">
        <v>87</v>
      </c>
      <c r="N252" s="46">
        <f t="shared" si="47"/>
        <v>4</v>
      </c>
      <c r="O252" s="46">
        <v>1</v>
      </c>
      <c r="P252" s="46">
        <f t="shared" si="48"/>
        <v>5</v>
      </c>
    </row>
    <row r="253" spans="2:16" ht="18.75" customHeight="1">
      <c r="B253" s="263"/>
      <c r="C253" s="40" t="s">
        <v>1026</v>
      </c>
      <c r="D253" s="40"/>
      <c r="E253" s="41" t="s">
        <v>581</v>
      </c>
      <c r="F253" s="50"/>
      <c r="G253" s="50"/>
      <c r="H253" s="50"/>
      <c r="I253" s="50"/>
      <c r="J253" s="45">
        <v>1</v>
      </c>
      <c r="K253" s="45" t="s">
        <v>81</v>
      </c>
      <c r="L253" s="49">
        <v>12</v>
      </c>
      <c r="M253" s="40" t="s">
        <v>87</v>
      </c>
      <c r="N253" s="46">
        <f t="shared" si="47"/>
        <v>12</v>
      </c>
      <c r="O253" s="46">
        <v>1</v>
      </c>
      <c r="P253" s="46">
        <f t="shared" si="48"/>
        <v>13</v>
      </c>
    </row>
    <row r="254" spans="2:16" ht="18.75" customHeight="1">
      <c r="C254" s="34"/>
      <c r="D254" s="34"/>
      <c r="E254" s="34"/>
    </row>
    <row r="255" spans="2:16" ht="18.75" customHeight="1">
      <c r="C255" s="37" t="s">
        <v>866</v>
      </c>
      <c r="D255" s="38" t="s">
        <v>867</v>
      </c>
      <c r="E255" s="38"/>
      <c r="F255" s="39" t="s">
        <v>2</v>
      </c>
      <c r="G255" s="39" t="s">
        <v>908</v>
      </c>
      <c r="H255" s="39" t="s">
        <v>909</v>
      </c>
      <c r="I255" s="39" t="s">
        <v>4</v>
      </c>
      <c r="J255" s="39" t="s">
        <v>870</v>
      </c>
      <c r="K255" s="39" t="s">
        <v>5</v>
      </c>
      <c r="L255" s="39" t="s">
        <v>871</v>
      </c>
      <c r="M255" s="39" t="s">
        <v>5</v>
      </c>
      <c r="N255" s="39" t="s">
        <v>870</v>
      </c>
      <c r="O255" s="39" t="s">
        <v>872</v>
      </c>
      <c r="P255" s="39" t="s">
        <v>873</v>
      </c>
    </row>
    <row r="256" spans="2:16" ht="18.75" customHeight="1">
      <c r="B256" s="261" t="s">
        <v>1156</v>
      </c>
      <c r="C256" s="40" t="s">
        <v>1027</v>
      </c>
      <c r="D256" s="40" t="s">
        <v>875</v>
      </c>
      <c r="E256" s="40"/>
      <c r="F256" s="40">
        <v>35</v>
      </c>
      <c r="G256" s="55">
        <v>1445</v>
      </c>
      <c r="H256" s="45"/>
      <c r="I256" s="40">
        <v>1</v>
      </c>
      <c r="J256" s="59">
        <f>G256*1.18/1000*I256</f>
        <v>1.7050999999999998</v>
      </c>
      <c r="K256" s="40" t="s">
        <v>886</v>
      </c>
      <c r="L256" s="40">
        <f>VLOOKUP(F256,BM!$A$2:$X$57,2,FALSE)</f>
        <v>0.1</v>
      </c>
      <c r="M256" s="40"/>
      <c r="N256" s="59">
        <f t="shared" si="40"/>
        <v>0.17050999999999999</v>
      </c>
      <c r="O256" s="40">
        <v>1</v>
      </c>
      <c r="P256" s="60">
        <f t="shared" si="41"/>
        <v>1.1705099999999999</v>
      </c>
    </row>
    <row r="257" spans="2:16" ht="18.75" customHeight="1">
      <c r="B257" s="262"/>
      <c r="C257" s="40" t="s">
        <v>1028</v>
      </c>
      <c r="D257" s="40" t="s">
        <v>875</v>
      </c>
      <c r="E257" s="40"/>
      <c r="F257" s="40">
        <v>30</v>
      </c>
      <c r="G257" s="55">
        <v>1445</v>
      </c>
      <c r="H257" s="45"/>
      <c r="I257" s="40">
        <v>1</v>
      </c>
      <c r="J257" s="59">
        <f t="shared" ref="J257:J260" si="49">G257*1.18/1000*I257</f>
        <v>1.7050999999999998</v>
      </c>
      <c r="K257" s="40" t="s">
        <v>886</v>
      </c>
      <c r="L257" s="40">
        <f>VLOOKUP(F257,BM!$A$2:$X$57,3,FALSE)</f>
        <v>0.25</v>
      </c>
      <c r="M257" s="40"/>
      <c r="N257" s="59">
        <f t="shared" si="40"/>
        <v>0.42627499999999996</v>
      </c>
      <c r="O257" s="40">
        <v>1</v>
      </c>
      <c r="P257" s="60">
        <f t="shared" si="41"/>
        <v>1.426275</v>
      </c>
    </row>
    <row r="258" spans="2:16" ht="18.75" customHeight="1">
      <c r="B258" s="262"/>
      <c r="C258" s="40" t="s">
        <v>1029</v>
      </c>
      <c r="D258" s="40" t="s">
        <v>875</v>
      </c>
      <c r="E258" s="40"/>
      <c r="F258" s="40">
        <v>30</v>
      </c>
      <c r="G258" s="55">
        <v>1445</v>
      </c>
      <c r="H258" s="45"/>
      <c r="I258" s="40">
        <v>1</v>
      </c>
      <c r="J258" s="59">
        <f t="shared" si="49"/>
        <v>1.7050999999999998</v>
      </c>
      <c r="K258" s="40" t="s">
        <v>886</v>
      </c>
      <c r="L258" s="40">
        <f>VLOOKUP(F258,BM!$A$2:$X$57,4,FALSE)</f>
        <v>0.15</v>
      </c>
      <c r="M258" s="40"/>
      <c r="N258" s="59">
        <f t="shared" si="40"/>
        <v>0.25576499999999996</v>
      </c>
      <c r="O258" s="40">
        <v>1</v>
      </c>
      <c r="P258" s="60">
        <f t="shared" si="41"/>
        <v>1.255765</v>
      </c>
    </row>
    <row r="259" spans="2:16" ht="18.75" customHeight="1">
      <c r="B259" s="262"/>
      <c r="C259" s="40" t="s">
        <v>1030</v>
      </c>
      <c r="D259" s="40" t="s">
        <v>875</v>
      </c>
      <c r="E259" s="40" t="s">
        <v>581</v>
      </c>
      <c r="F259" s="40">
        <v>30</v>
      </c>
      <c r="G259" s="55">
        <v>1445</v>
      </c>
      <c r="H259" s="45"/>
      <c r="I259" s="40">
        <v>1</v>
      </c>
      <c r="J259" s="59">
        <f t="shared" si="49"/>
        <v>1.7050999999999998</v>
      </c>
      <c r="K259" s="40" t="s">
        <v>564</v>
      </c>
      <c r="L259" s="40">
        <v>10</v>
      </c>
      <c r="M259" s="40" t="s">
        <v>1031</v>
      </c>
      <c r="N259" s="59"/>
      <c r="O259" s="40"/>
      <c r="P259" s="60" t="s">
        <v>1032</v>
      </c>
    </row>
    <row r="260" spans="2:16" ht="18.75" customHeight="1">
      <c r="B260" s="262"/>
      <c r="C260" s="40" t="s">
        <v>1033</v>
      </c>
      <c r="D260" s="40" t="s">
        <v>875</v>
      </c>
      <c r="E260" s="40"/>
      <c r="F260" s="40">
        <v>30</v>
      </c>
      <c r="G260" s="55">
        <v>1445</v>
      </c>
      <c r="H260" s="45"/>
      <c r="I260" s="40">
        <v>1</v>
      </c>
      <c r="J260" s="59">
        <f t="shared" si="49"/>
        <v>1.7050999999999998</v>
      </c>
      <c r="K260" s="40" t="s">
        <v>886</v>
      </c>
      <c r="L260" s="40">
        <f>VLOOKUP(F260,BM!$A$2:$X$57,2,FALSE)</f>
        <v>0.1</v>
      </c>
      <c r="M260" s="40"/>
      <c r="N260" s="59">
        <f t="shared" ref="N260:N261" si="50">J260*L260</f>
        <v>0.17050999999999999</v>
      </c>
      <c r="O260" s="40">
        <v>1</v>
      </c>
      <c r="P260" s="60">
        <f t="shared" ref="P260:P261" si="51">N260+O260</f>
        <v>1.1705099999999999</v>
      </c>
    </row>
    <row r="261" spans="2:16" ht="18.75" customHeight="1">
      <c r="B261" s="262"/>
      <c r="C261" s="40" t="s">
        <v>1028</v>
      </c>
      <c r="D261" s="40" t="s">
        <v>875</v>
      </c>
      <c r="E261" s="40"/>
      <c r="F261" s="40">
        <v>30</v>
      </c>
      <c r="G261" s="55">
        <v>1445</v>
      </c>
      <c r="H261" s="45"/>
      <c r="I261" s="40">
        <v>1</v>
      </c>
      <c r="J261" s="59">
        <f>G261*3.142*I261*0.001</f>
        <v>4.5401899999999999</v>
      </c>
      <c r="K261" s="40" t="s">
        <v>886</v>
      </c>
      <c r="L261" s="40">
        <f>VLOOKUP(F261,BM!$A$2:$X$57,3,FALSE)</f>
        <v>0.25</v>
      </c>
      <c r="M261" s="40"/>
      <c r="N261" s="59">
        <f t="shared" si="50"/>
        <v>1.1350475</v>
      </c>
      <c r="O261" s="40">
        <v>1</v>
      </c>
      <c r="P261" s="60">
        <f t="shared" si="51"/>
        <v>2.1350474999999998</v>
      </c>
    </row>
    <row r="262" spans="2:16" ht="18.75" customHeight="1">
      <c r="B262" s="262"/>
      <c r="C262" s="40" t="s">
        <v>1034</v>
      </c>
      <c r="D262" s="40" t="s">
        <v>875</v>
      </c>
      <c r="E262" s="40"/>
      <c r="F262" s="40">
        <v>30</v>
      </c>
      <c r="G262" s="55">
        <v>1445</v>
      </c>
      <c r="H262" s="45" t="s">
        <v>1035</v>
      </c>
      <c r="I262" s="40">
        <v>2</v>
      </c>
      <c r="J262" s="59">
        <f>G262*3.142*I262*0.001</f>
        <v>9.0803799999999999</v>
      </c>
      <c r="K262" s="40" t="s">
        <v>886</v>
      </c>
      <c r="L262" s="40">
        <f>VLOOKUP(F262,BM!$A$2:$X$57,5,FALSE)</f>
        <v>0.5</v>
      </c>
      <c r="M262" s="40"/>
      <c r="N262" s="59">
        <f t="shared" ref="N262:N263" si="52">J262*L262</f>
        <v>4.5401899999999999</v>
      </c>
      <c r="O262" s="40">
        <v>1</v>
      </c>
      <c r="P262" s="60">
        <f t="shared" ref="P262:P263" si="53">N262+O262</f>
        <v>5.5401899999999999</v>
      </c>
    </row>
    <row r="263" spans="2:16" ht="18.75" customHeight="1">
      <c r="B263" s="262"/>
      <c r="C263" s="40" t="s">
        <v>1036</v>
      </c>
      <c r="D263" s="40" t="s">
        <v>875</v>
      </c>
      <c r="E263" s="40"/>
      <c r="F263" s="40">
        <v>30</v>
      </c>
      <c r="G263" s="55">
        <f>1450</f>
        <v>1450</v>
      </c>
      <c r="H263" s="45"/>
      <c r="I263" s="40">
        <v>2</v>
      </c>
      <c r="J263" s="59">
        <f t="shared" ref="J263:J265" si="54">G263*3.142*I263*0.001</f>
        <v>9.1117999999999988</v>
      </c>
      <c r="K263" s="40" t="s">
        <v>886</v>
      </c>
      <c r="L263" s="40">
        <f>VLOOKUP(F263,BM!$A$2:$X$57,6,FALSE)</f>
        <v>1</v>
      </c>
      <c r="M263" s="40"/>
      <c r="N263" s="59">
        <f t="shared" si="52"/>
        <v>9.1117999999999988</v>
      </c>
      <c r="O263" s="40">
        <v>1</v>
      </c>
      <c r="P263" s="60">
        <f t="shared" si="53"/>
        <v>10.111799999999999</v>
      </c>
    </row>
    <row r="264" spans="2:16" ht="18.75" customHeight="1">
      <c r="B264" s="262"/>
      <c r="C264" s="40" t="s">
        <v>1037</v>
      </c>
      <c r="D264" s="40" t="s">
        <v>875</v>
      </c>
      <c r="E264" s="40"/>
      <c r="F264" s="40">
        <v>30</v>
      </c>
      <c r="G264" s="55">
        <f>1450</f>
        <v>1450</v>
      </c>
      <c r="H264" s="45" t="s">
        <v>1035</v>
      </c>
      <c r="I264" s="40">
        <v>1</v>
      </c>
      <c r="J264" s="59">
        <f t="shared" si="54"/>
        <v>4.5558999999999994</v>
      </c>
      <c r="K264" s="40" t="s">
        <v>886</v>
      </c>
      <c r="L264" s="40">
        <f>VLOOKUP(F264,BM!$A$2:$X$57,16,FALSE)</f>
        <v>1</v>
      </c>
      <c r="M264" s="40"/>
      <c r="N264" s="59">
        <f t="shared" ref="N264:N269" si="55">J264*L264</f>
        <v>4.5558999999999994</v>
      </c>
      <c r="O264" s="40">
        <v>1</v>
      </c>
      <c r="P264" s="60">
        <f t="shared" ref="P264:P269" si="56">N264+O264</f>
        <v>5.5558999999999994</v>
      </c>
    </row>
    <row r="265" spans="2:16" ht="18.75" customHeight="1">
      <c r="B265" s="262"/>
      <c r="C265" s="40" t="s">
        <v>1038</v>
      </c>
      <c r="D265" s="40" t="s">
        <v>875</v>
      </c>
      <c r="E265" s="40"/>
      <c r="F265" s="40">
        <v>16</v>
      </c>
      <c r="G265" s="55">
        <f>1450</f>
        <v>1450</v>
      </c>
      <c r="H265" s="45"/>
      <c r="I265" s="40">
        <v>1</v>
      </c>
      <c r="J265" s="59">
        <f t="shared" si="54"/>
        <v>4.5558999999999994</v>
      </c>
      <c r="K265" s="40" t="s">
        <v>886</v>
      </c>
      <c r="L265" s="40">
        <f>VLOOKUP(F265,BM!$A$2:$X$57,23,FALSE)</f>
        <v>5.6</v>
      </c>
      <c r="M265" s="40"/>
      <c r="N265" s="59">
        <f t="shared" si="55"/>
        <v>25.513039999999997</v>
      </c>
      <c r="O265" s="40">
        <v>1</v>
      </c>
      <c r="P265" s="60">
        <f t="shared" si="56"/>
        <v>26.513039999999997</v>
      </c>
    </row>
    <row r="266" spans="2:16" ht="18.75" customHeight="1">
      <c r="B266" s="262"/>
      <c r="C266" s="40" t="s">
        <v>1039</v>
      </c>
      <c r="D266" s="40" t="s">
        <v>875</v>
      </c>
      <c r="E266" s="40"/>
      <c r="F266" s="55">
        <v>25</v>
      </c>
      <c r="G266" s="55">
        <v>300</v>
      </c>
      <c r="H266" s="56">
        <v>1450</v>
      </c>
      <c r="I266" s="55">
        <v>1</v>
      </c>
      <c r="J266" s="46">
        <f>(G266*2*0.001+H266*2*0.001)*I266</f>
        <v>3.5</v>
      </c>
      <c r="K266" s="40" t="s">
        <v>886</v>
      </c>
      <c r="L266" s="40">
        <f>VLOOKUP(F266,BM!$A$2:$X$57,2,FALSE)</f>
        <v>0.1</v>
      </c>
      <c r="M266" s="40" t="s">
        <v>911</v>
      </c>
      <c r="N266" s="49">
        <f t="shared" si="55"/>
        <v>0.35000000000000003</v>
      </c>
      <c r="O266" s="40">
        <v>1</v>
      </c>
      <c r="P266" s="57">
        <f t="shared" si="56"/>
        <v>1.35</v>
      </c>
    </row>
    <row r="267" spans="2:16" ht="18.75" customHeight="1">
      <c r="B267" s="262"/>
      <c r="C267" s="40" t="s">
        <v>1040</v>
      </c>
      <c r="D267" s="40" t="s">
        <v>875</v>
      </c>
      <c r="E267" s="40"/>
      <c r="F267" s="55">
        <v>25</v>
      </c>
      <c r="G267" s="55">
        <v>300</v>
      </c>
      <c r="H267" s="56">
        <v>1450</v>
      </c>
      <c r="I267" s="55">
        <v>1</v>
      </c>
      <c r="J267" s="46">
        <f>(G267*2*0.001+H267*2*0.001)*I267</f>
        <v>3.5</v>
      </c>
      <c r="K267" s="40" t="s">
        <v>886</v>
      </c>
      <c r="L267" s="40">
        <f>VLOOKUP(F267,BM!$A$2:$X$57,3,FALSE)</f>
        <v>0.25</v>
      </c>
      <c r="M267" s="40" t="s">
        <v>911</v>
      </c>
      <c r="N267" s="49">
        <f t="shared" si="55"/>
        <v>0.875</v>
      </c>
      <c r="O267" s="40">
        <v>1</v>
      </c>
      <c r="P267" s="57">
        <f t="shared" si="56"/>
        <v>1.875</v>
      </c>
    </row>
    <row r="268" spans="2:16" ht="18.75" customHeight="1">
      <c r="B268" s="262"/>
      <c r="C268" s="40" t="s">
        <v>1041</v>
      </c>
      <c r="D268" s="40" t="s">
        <v>875</v>
      </c>
      <c r="E268" s="40"/>
      <c r="F268" s="55">
        <v>25</v>
      </c>
      <c r="G268" s="55">
        <v>300</v>
      </c>
      <c r="H268" s="56">
        <v>1450</v>
      </c>
      <c r="I268" s="55">
        <v>1</v>
      </c>
      <c r="J268" s="59">
        <f>J267</f>
        <v>3.5</v>
      </c>
      <c r="K268" s="40" t="s">
        <v>886</v>
      </c>
      <c r="L268" s="40">
        <f>VLOOKUP(F268,BM!$A$2:$X$57,4,FALSE)</f>
        <v>0.15</v>
      </c>
      <c r="M268" s="40" t="s">
        <v>911</v>
      </c>
      <c r="N268" s="49">
        <f t="shared" si="55"/>
        <v>0.52500000000000002</v>
      </c>
      <c r="O268" s="40">
        <v>1</v>
      </c>
      <c r="P268" s="57">
        <f t="shared" si="56"/>
        <v>1.5249999999999999</v>
      </c>
    </row>
    <row r="269" spans="2:16" ht="18.75" customHeight="1">
      <c r="B269" s="262"/>
      <c r="C269" s="40" t="s">
        <v>1042</v>
      </c>
      <c r="D269" s="40" t="s">
        <v>875</v>
      </c>
      <c r="E269" s="40" t="s">
        <v>581</v>
      </c>
      <c r="F269" s="55">
        <v>25</v>
      </c>
      <c r="G269" s="55"/>
      <c r="H269" s="56"/>
      <c r="I269" s="55"/>
      <c r="J269" s="46">
        <v>1</v>
      </c>
      <c r="K269" s="40" t="s">
        <v>81</v>
      </c>
      <c r="L269" s="40">
        <v>4</v>
      </c>
      <c r="M269" s="40" t="s">
        <v>39</v>
      </c>
      <c r="N269" s="49">
        <f t="shared" si="55"/>
        <v>4</v>
      </c>
      <c r="O269" s="40">
        <v>1</v>
      </c>
      <c r="P269" s="57">
        <f t="shared" si="56"/>
        <v>5</v>
      </c>
    </row>
    <row r="270" spans="2:16" ht="18.75" customHeight="1">
      <c r="B270" s="262"/>
      <c r="C270" s="40" t="s">
        <v>1043</v>
      </c>
      <c r="D270" s="40" t="s">
        <v>875</v>
      </c>
      <c r="E270" s="40"/>
      <c r="F270" s="55">
        <v>18</v>
      </c>
      <c r="G270" s="55"/>
      <c r="H270" s="56">
        <v>1450</v>
      </c>
      <c r="I270" s="55">
        <v>2</v>
      </c>
      <c r="J270" s="46">
        <f>H270*I270*0.001</f>
        <v>2.9</v>
      </c>
      <c r="K270" s="40" t="s">
        <v>886</v>
      </c>
      <c r="L270" s="40">
        <f>VLOOKUP(F270,BM!$A$2:$X$57,22,FALSE)</f>
        <v>3.4</v>
      </c>
      <c r="M270" s="40" t="s">
        <v>911</v>
      </c>
      <c r="N270" s="49">
        <f t="shared" ref="N270" si="57">J270*L270</f>
        <v>9.86</v>
      </c>
      <c r="O270" s="40">
        <v>1</v>
      </c>
      <c r="P270" s="57">
        <f t="shared" ref="P270" si="58">N270+O270</f>
        <v>10.86</v>
      </c>
    </row>
    <row r="271" spans="2:16" ht="18.75" customHeight="1">
      <c r="B271" s="263"/>
      <c r="C271" s="40" t="s">
        <v>1044</v>
      </c>
      <c r="D271" s="40"/>
      <c r="E271" s="40"/>
      <c r="F271" s="55"/>
      <c r="G271" s="55"/>
      <c r="H271" s="56"/>
      <c r="I271" s="55"/>
      <c r="J271" s="46"/>
      <c r="K271" s="40"/>
      <c r="L271" s="40"/>
      <c r="M271" s="40"/>
      <c r="N271" s="49"/>
      <c r="O271" s="40"/>
      <c r="P271" s="57">
        <v>12</v>
      </c>
    </row>
    <row r="272" spans="2:16" ht="18.75" customHeight="1">
      <c r="J272" s="47"/>
      <c r="K272" s="47"/>
      <c r="L272" s="48"/>
      <c r="M272" s="48"/>
      <c r="N272" s="48"/>
      <c r="O272" s="48"/>
      <c r="P272" s="48"/>
    </row>
    <row r="273" spans="2:16" ht="18.75" customHeight="1">
      <c r="C273" s="37" t="s">
        <v>866</v>
      </c>
      <c r="D273" s="38" t="s">
        <v>867</v>
      </c>
      <c r="E273" s="38"/>
      <c r="F273" s="39" t="s">
        <v>2</v>
      </c>
      <c r="G273" s="39" t="s">
        <v>908</v>
      </c>
      <c r="H273" s="39" t="s">
        <v>909</v>
      </c>
      <c r="I273" s="39" t="s">
        <v>4</v>
      </c>
      <c r="J273" s="39" t="s">
        <v>870</v>
      </c>
      <c r="K273" s="39" t="s">
        <v>5</v>
      </c>
      <c r="L273" s="39" t="s">
        <v>871</v>
      </c>
      <c r="M273" s="39" t="s">
        <v>5</v>
      </c>
      <c r="N273" s="39" t="s">
        <v>870</v>
      </c>
      <c r="O273" s="39" t="s">
        <v>872</v>
      </c>
      <c r="P273" s="39" t="s">
        <v>873</v>
      </c>
    </row>
    <row r="274" spans="2:16" ht="18.75" customHeight="1">
      <c r="B274" s="261" t="s">
        <v>1157</v>
      </c>
      <c r="C274" s="40" t="s">
        <v>1045</v>
      </c>
      <c r="D274" s="40" t="s">
        <v>875</v>
      </c>
      <c r="E274" s="40"/>
      <c r="F274" s="40"/>
      <c r="G274" s="40"/>
      <c r="H274" s="45"/>
      <c r="I274" s="40"/>
      <c r="J274" s="46"/>
      <c r="K274" s="40"/>
      <c r="L274" s="40"/>
      <c r="M274" s="40"/>
      <c r="N274" s="49"/>
      <c r="O274" s="40"/>
      <c r="P274" s="57"/>
    </row>
    <row r="275" spans="2:16" ht="18.75" customHeight="1">
      <c r="B275" s="262"/>
      <c r="C275" s="40" t="s">
        <v>1046</v>
      </c>
      <c r="D275" s="40" t="s">
        <v>875</v>
      </c>
      <c r="E275" s="40"/>
      <c r="F275" s="40">
        <v>20</v>
      </c>
      <c r="G275" s="40">
        <v>70</v>
      </c>
      <c r="H275" s="45">
        <v>8571</v>
      </c>
      <c r="I275" s="40">
        <v>2</v>
      </c>
      <c r="J275" s="46">
        <f t="shared" ref="J275:J281" si="59">(G275*2*0.001+H275*2*0.001)*I275</f>
        <v>34.564</v>
      </c>
      <c r="K275" s="40"/>
      <c r="L275" s="40">
        <f>VLOOKUP(F275,BM!$A$2:$X$57,2,FALSE)</f>
        <v>0.1</v>
      </c>
      <c r="M275" s="40"/>
      <c r="N275" s="49">
        <f t="shared" si="40"/>
        <v>3.4564000000000004</v>
      </c>
      <c r="O275" s="40">
        <v>1</v>
      </c>
      <c r="P275" s="57">
        <f t="shared" si="41"/>
        <v>4.4564000000000004</v>
      </c>
    </row>
    <row r="276" spans="2:16" ht="18.75" customHeight="1">
      <c r="B276" s="262"/>
      <c r="C276" s="40" t="s">
        <v>1047</v>
      </c>
      <c r="D276" s="40" t="s">
        <v>875</v>
      </c>
      <c r="E276" s="40"/>
      <c r="F276" s="40"/>
      <c r="G276" s="40"/>
      <c r="H276" s="45"/>
      <c r="I276" s="40"/>
      <c r="J276" s="46"/>
      <c r="K276" s="40"/>
      <c r="L276" s="40"/>
      <c r="M276" s="40"/>
      <c r="N276" s="49"/>
      <c r="O276" s="40"/>
      <c r="P276" s="57"/>
    </row>
    <row r="277" spans="2:16" ht="18.75" customHeight="1">
      <c r="B277" s="262"/>
      <c r="C277" s="40" t="s">
        <v>1048</v>
      </c>
      <c r="D277" s="40"/>
      <c r="E277" s="40"/>
      <c r="F277" s="40"/>
      <c r="G277" s="40" t="s">
        <v>1049</v>
      </c>
      <c r="H277" s="45" t="s">
        <v>1050</v>
      </c>
      <c r="I277" s="40">
        <v>43</v>
      </c>
      <c r="J277" s="46">
        <f>I277</f>
        <v>43</v>
      </c>
      <c r="K277" s="40" t="s">
        <v>39</v>
      </c>
      <c r="L277" s="57">
        <f>1/60*5</f>
        <v>8.3333333333333329E-2</v>
      </c>
      <c r="M277" s="40" t="s">
        <v>1051</v>
      </c>
      <c r="N277" s="49">
        <f t="shared" si="40"/>
        <v>3.583333333333333</v>
      </c>
      <c r="O277" s="40"/>
      <c r="P277" s="57"/>
    </row>
    <row r="278" spans="2:16" ht="18.75" customHeight="1">
      <c r="B278" s="262"/>
      <c r="C278" s="40" t="s">
        <v>1052</v>
      </c>
      <c r="D278" s="40"/>
      <c r="E278" s="40"/>
      <c r="F278" s="40"/>
      <c r="G278" s="40" t="s">
        <v>1049</v>
      </c>
      <c r="H278" s="45" t="s">
        <v>1053</v>
      </c>
      <c r="I278" s="40">
        <v>7</v>
      </c>
      <c r="J278" s="46">
        <f>I278</f>
        <v>7</v>
      </c>
      <c r="K278" s="40" t="s">
        <v>39</v>
      </c>
      <c r="L278" s="57">
        <f>1/60*5</f>
        <v>8.3333333333333329E-2</v>
      </c>
      <c r="M278" s="40" t="s">
        <v>1051</v>
      </c>
      <c r="N278" s="49">
        <f t="shared" si="40"/>
        <v>0.58333333333333326</v>
      </c>
      <c r="O278" s="40"/>
      <c r="P278" s="57"/>
    </row>
    <row r="279" spans="2:16" ht="18.75" customHeight="1">
      <c r="B279" s="262"/>
      <c r="C279" s="40" t="s">
        <v>1054</v>
      </c>
      <c r="D279" s="40"/>
      <c r="E279" s="40"/>
      <c r="F279" s="40"/>
      <c r="G279" s="40" t="s">
        <v>1055</v>
      </c>
      <c r="H279" s="45" t="s">
        <v>1056</v>
      </c>
      <c r="I279" s="40">
        <v>14</v>
      </c>
      <c r="J279" s="46">
        <f>I279</f>
        <v>14</v>
      </c>
      <c r="K279" s="40" t="s">
        <v>39</v>
      </c>
      <c r="L279" s="57">
        <f>1/60*5</f>
        <v>8.3333333333333329E-2</v>
      </c>
      <c r="M279" s="40" t="s">
        <v>1051</v>
      </c>
      <c r="N279" s="49">
        <f t="shared" ref="N279:N280" si="60">J279*L279</f>
        <v>1.1666666666666665</v>
      </c>
      <c r="O279" s="40"/>
      <c r="P279" s="57"/>
    </row>
    <row r="280" spans="2:16" ht="18.75" customHeight="1">
      <c r="B280" s="262"/>
      <c r="C280" s="40" t="s">
        <v>1057</v>
      </c>
      <c r="D280" s="40"/>
      <c r="E280" s="40"/>
      <c r="F280" s="40"/>
      <c r="G280" s="40" t="s">
        <v>1058</v>
      </c>
      <c r="H280" s="45"/>
      <c r="I280" s="40">
        <f>838/2</f>
        <v>419</v>
      </c>
      <c r="J280" s="46">
        <f>I280</f>
        <v>419</v>
      </c>
      <c r="K280" s="40" t="s">
        <v>39</v>
      </c>
      <c r="L280" s="57">
        <f>1/60*5</f>
        <v>8.3333333333333329E-2</v>
      </c>
      <c r="M280" s="40" t="s">
        <v>1051</v>
      </c>
      <c r="N280" s="49">
        <f t="shared" si="60"/>
        <v>34.916666666666664</v>
      </c>
      <c r="O280" s="40"/>
      <c r="P280" s="57"/>
    </row>
    <row r="281" spans="2:16" ht="18.75" customHeight="1">
      <c r="B281" s="263"/>
      <c r="C281" s="40" t="s">
        <v>1059</v>
      </c>
      <c r="D281" s="40" t="s">
        <v>875</v>
      </c>
      <c r="E281" s="40"/>
      <c r="F281" s="40">
        <v>24</v>
      </c>
      <c r="G281" s="40">
        <v>100</v>
      </c>
      <c r="H281" s="45">
        <v>500</v>
      </c>
      <c r="I281" s="40">
        <v>2</v>
      </c>
      <c r="J281" s="46">
        <f t="shared" si="59"/>
        <v>2.4</v>
      </c>
      <c r="K281" s="40"/>
      <c r="L281" s="40">
        <f>VLOOKUP(F281,BM!$A$2:$X$57,2,FALSE)</f>
        <v>0.1</v>
      </c>
      <c r="M281" s="40"/>
      <c r="N281" s="49">
        <f t="shared" si="40"/>
        <v>0.24</v>
      </c>
      <c r="O281" s="40">
        <v>1</v>
      </c>
      <c r="P281" s="57">
        <f t="shared" si="41"/>
        <v>1.24</v>
      </c>
    </row>
    <row r="282" spans="2:16" ht="18.75" customHeight="1">
      <c r="C282" s="34"/>
      <c r="D282" s="34"/>
      <c r="E282" s="34"/>
    </row>
    <row r="283" spans="2:16" ht="18.75" customHeight="1">
      <c r="C283" s="37" t="s">
        <v>866</v>
      </c>
      <c r="D283" s="38" t="s">
        <v>867</v>
      </c>
      <c r="E283" s="38"/>
      <c r="F283" s="39" t="s">
        <v>2</v>
      </c>
      <c r="G283" s="39" t="s">
        <v>908</v>
      </c>
      <c r="H283" s="39" t="s">
        <v>909</v>
      </c>
      <c r="I283" s="39" t="s">
        <v>4</v>
      </c>
      <c r="J283" s="39" t="s">
        <v>870</v>
      </c>
      <c r="K283" s="39" t="s">
        <v>5</v>
      </c>
      <c r="L283" s="39" t="s">
        <v>871</v>
      </c>
      <c r="M283" s="39" t="s">
        <v>5</v>
      </c>
      <c r="N283" s="39" t="s">
        <v>870</v>
      </c>
      <c r="O283" s="39" t="s">
        <v>872</v>
      </c>
      <c r="P283" s="39" t="s">
        <v>873</v>
      </c>
    </row>
    <row r="284" spans="2:16" ht="18.75" customHeight="1">
      <c r="B284" s="261" t="s">
        <v>1157</v>
      </c>
      <c r="C284" s="40" t="s">
        <v>1060</v>
      </c>
      <c r="D284" s="40" t="s">
        <v>875</v>
      </c>
      <c r="E284" s="40"/>
      <c r="F284" s="40"/>
      <c r="G284" s="40"/>
      <c r="H284" s="45"/>
      <c r="I284" s="40"/>
      <c r="J284" s="46"/>
      <c r="K284" s="40"/>
      <c r="L284" s="40"/>
      <c r="M284" s="40"/>
      <c r="N284" s="49"/>
      <c r="O284" s="40"/>
      <c r="P284" s="57"/>
    </row>
    <row r="285" spans="2:16" ht="18.75" customHeight="1">
      <c r="B285" s="262"/>
      <c r="C285" s="40" t="s">
        <v>1061</v>
      </c>
      <c r="D285" s="40" t="s">
        <v>875</v>
      </c>
      <c r="E285" s="40"/>
      <c r="F285" s="40">
        <v>20</v>
      </c>
      <c r="G285" s="40">
        <v>70</v>
      </c>
      <c r="H285" s="45">
        <v>8571</v>
      </c>
      <c r="I285" s="40">
        <v>2</v>
      </c>
      <c r="J285" s="46">
        <f t="shared" ref="J285" si="61">(G285*2*0.001+H285*2*0.001)*I285</f>
        <v>34.564</v>
      </c>
      <c r="K285" s="40"/>
      <c r="L285" s="40">
        <f>VLOOKUP(F285,BM!$A$2:$X$57,3,FALSE)</f>
        <v>0.25</v>
      </c>
      <c r="M285" s="40"/>
      <c r="N285" s="49">
        <f t="shared" ref="N285" si="62">J285*L285</f>
        <v>8.641</v>
      </c>
      <c r="O285" s="40">
        <v>1</v>
      </c>
      <c r="P285" s="57">
        <f t="shared" ref="P285:P291" si="63">N285+O285</f>
        <v>9.641</v>
      </c>
    </row>
    <row r="286" spans="2:16" ht="18.75" customHeight="1">
      <c r="B286" s="262"/>
      <c r="C286" s="40" t="s">
        <v>1062</v>
      </c>
      <c r="D286" s="40" t="s">
        <v>875</v>
      </c>
      <c r="E286" s="40"/>
      <c r="F286" s="40"/>
      <c r="G286" s="40"/>
      <c r="H286" s="45"/>
      <c r="I286" s="40"/>
      <c r="J286" s="46"/>
      <c r="K286" s="40"/>
      <c r="L286" s="40"/>
      <c r="M286" s="40"/>
      <c r="N286" s="49"/>
      <c r="O286" s="40"/>
      <c r="P286" s="57"/>
    </row>
    <row r="287" spans="2:16" ht="18.75" customHeight="1">
      <c r="B287" s="262"/>
      <c r="C287" s="40" t="s">
        <v>1063</v>
      </c>
      <c r="D287" s="40"/>
      <c r="E287" s="40"/>
      <c r="F287" s="40"/>
      <c r="G287" s="40" t="s">
        <v>1049</v>
      </c>
      <c r="H287" s="45" t="s">
        <v>1050</v>
      </c>
      <c r="I287" s="40">
        <v>43</v>
      </c>
      <c r="J287" s="46">
        <f>I287</f>
        <v>43</v>
      </c>
      <c r="K287" s="40" t="s">
        <v>39</v>
      </c>
      <c r="L287" s="57">
        <f>1/60*10</f>
        <v>0.16666666666666666</v>
      </c>
      <c r="M287" s="40" t="s">
        <v>1051</v>
      </c>
      <c r="N287" s="49">
        <f t="shared" ref="N287:N291" si="64">J287*L287</f>
        <v>7.1666666666666661</v>
      </c>
      <c r="O287" s="40"/>
      <c r="P287" s="57">
        <f t="shared" si="63"/>
        <v>7.1666666666666661</v>
      </c>
    </row>
    <row r="288" spans="2:16" ht="18.75" customHeight="1">
      <c r="B288" s="262"/>
      <c r="C288" s="40" t="s">
        <v>1064</v>
      </c>
      <c r="D288" s="40"/>
      <c r="E288" s="40"/>
      <c r="F288" s="40"/>
      <c r="G288" s="40" t="s">
        <v>1049</v>
      </c>
      <c r="H288" s="45" t="s">
        <v>1053</v>
      </c>
      <c r="I288" s="40">
        <v>7</v>
      </c>
      <c r="J288" s="46">
        <f>I288</f>
        <v>7</v>
      </c>
      <c r="K288" s="40" t="s">
        <v>39</v>
      </c>
      <c r="L288" s="57">
        <f>1/60*10</f>
        <v>0.16666666666666666</v>
      </c>
      <c r="M288" s="40" t="s">
        <v>1051</v>
      </c>
      <c r="N288" s="49">
        <f t="shared" si="64"/>
        <v>1.1666666666666665</v>
      </c>
      <c r="O288" s="40"/>
      <c r="P288" s="57">
        <f t="shared" si="63"/>
        <v>1.1666666666666665</v>
      </c>
    </row>
    <row r="289" spans="2:16" ht="18.75" customHeight="1">
      <c r="B289" s="262"/>
      <c r="C289" s="40" t="s">
        <v>1065</v>
      </c>
      <c r="D289" s="40"/>
      <c r="E289" s="40"/>
      <c r="F289" s="40"/>
      <c r="G289" s="40" t="s">
        <v>1055</v>
      </c>
      <c r="H289" s="45" t="s">
        <v>1056</v>
      </c>
      <c r="I289" s="40">
        <v>14</v>
      </c>
      <c r="J289" s="46">
        <f>I289</f>
        <v>14</v>
      </c>
      <c r="K289" s="40" t="s">
        <v>39</v>
      </c>
      <c r="L289" s="57">
        <f>1/60*10</f>
        <v>0.16666666666666666</v>
      </c>
      <c r="M289" s="40" t="s">
        <v>1051</v>
      </c>
      <c r="N289" s="49">
        <f t="shared" si="64"/>
        <v>2.333333333333333</v>
      </c>
      <c r="O289" s="40"/>
      <c r="P289" s="57">
        <f t="shared" si="63"/>
        <v>2.333333333333333</v>
      </c>
    </row>
    <row r="290" spans="2:16" ht="18.75" customHeight="1">
      <c r="B290" s="262"/>
      <c r="C290" s="40" t="s">
        <v>1066</v>
      </c>
      <c r="D290" s="40"/>
      <c r="E290" s="40"/>
      <c r="F290" s="40"/>
      <c r="G290" s="40" t="s">
        <v>1058</v>
      </c>
      <c r="H290" s="45"/>
      <c r="I290" s="40">
        <f>838/2</f>
        <v>419</v>
      </c>
      <c r="J290" s="46">
        <f>I290</f>
        <v>419</v>
      </c>
      <c r="K290" s="40" t="s">
        <v>39</v>
      </c>
      <c r="L290" s="57">
        <f>1/60*5</f>
        <v>8.3333333333333329E-2</v>
      </c>
      <c r="M290" s="40" t="s">
        <v>1051</v>
      </c>
      <c r="N290" s="49">
        <f t="shared" si="64"/>
        <v>34.916666666666664</v>
      </c>
      <c r="O290" s="40"/>
      <c r="P290" s="57">
        <f t="shared" si="63"/>
        <v>34.916666666666664</v>
      </c>
    </row>
    <row r="291" spans="2:16" ht="18.75" customHeight="1">
      <c r="B291" s="263"/>
      <c r="C291" s="40" t="s">
        <v>1067</v>
      </c>
      <c r="D291" s="40" t="s">
        <v>875</v>
      </c>
      <c r="E291" s="40"/>
      <c r="F291" s="40">
        <v>24</v>
      </c>
      <c r="G291" s="40">
        <v>100</v>
      </c>
      <c r="H291" s="45">
        <v>500</v>
      </c>
      <c r="I291" s="40">
        <v>2</v>
      </c>
      <c r="J291" s="46">
        <f t="shared" ref="J291" si="65">(G291*2*0.001+H291*2*0.001)*I291</f>
        <v>2.4</v>
      </c>
      <c r="K291" s="40"/>
      <c r="L291" s="40">
        <f>VLOOKUP(F291,BM!$A$2:$X$57,3,FALSE)</f>
        <v>0.25</v>
      </c>
      <c r="M291" s="40"/>
      <c r="N291" s="49">
        <f t="shared" si="64"/>
        <v>0.6</v>
      </c>
      <c r="O291" s="40">
        <v>1</v>
      </c>
      <c r="P291" s="57">
        <f t="shared" si="63"/>
        <v>1.6</v>
      </c>
    </row>
    <row r="292" spans="2:16" ht="18.75" customHeight="1">
      <c r="E292" s="35"/>
      <c r="F292" s="35"/>
      <c r="G292" s="35"/>
      <c r="H292" s="47"/>
      <c r="I292" s="35"/>
      <c r="J292" s="48"/>
      <c r="K292" s="35"/>
      <c r="L292" s="35"/>
      <c r="M292" s="35"/>
      <c r="N292" s="54"/>
      <c r="O292" s="35"/>
      <c r="P292" s="61"/>
    </row>
    <row r="293" spans="2:16" ht="18.75" customHeight="1">
      <c r="C293" s="37" t="s">
        <v>866</v>
      </c>
      <c r="D293" s="38" t="s">
        <v>867</v>
      </c>
      <c r="E293" s="38"/>
      <c r="F293" s="39" t="s">
        <v>2</v>
      </c>
      <c r="G293" s="39" t="s">
        <v>908</v>
      </c>
      <c r="H293" s="39" t="s">
        <v>909</v>
      </c>
      <c r="I293" s="39" t="s">
        <v>4</v>
      </c>
      <c r="J293" s="39" t="s">
        <v>870</v>
      </c>
      <c r="K293" s="39" t="s">
        <v>5</v>
      </c>
      <c r="L293" s="39" t="s">
        <v>871</v>
      </c>
      <c r="M293" s="39" t="s">
        <v>5</v>
      </c>
      <c r="N293" s="39" t="s">
        <v>870</v>
      </c>
      <c r="O293" s="39" t="s">
        <v>872</v>
      </c>
      <c r="P293" s="39" t="s">
        <v>873</v>
      </c>
    </row>
    <row r="294" spans="2:16" ht="18.75" customHeight="1">
      <c r="B294" s="261" t="s">
        <v>1157</v>
      </c>
      <c r="C294" s="40" t="s">
        <v>1068</v>
      </c>
      <c r="D294" s="40" t="s">
        <v>875</v>
      </c>
      <c r="E294" s="40"/>
      <c r="F294" s="40"/>
      <c r="G294" s="40"/>
      <c r="H294" s="45"/>
      <c r="I294" s="40"/>
      <c r="J294" s="46"/>
      <c r="K294" s="40"/>
      <c r="L294" s="40"/>
      <c r="M294" s="40"/>
      <c r="N294" s="49"/>
      <c r="O294" s="40"/>
      <c r="P294" s="57"/>
    </row>
    <row r="295" spans="2:16" ht="18.75" customHeight="1">
      <c r="B295" s="262"/>
      <c r="C295" s="40" t="s">
        <v>1069</v>
      </c>
      <c r="D295" s="40" t="s">
        <v>875</v>
      </c>
      <c r="E295" s="40"/>
      <c r="F295" s="40">
        <v>20</v>
      </c>
      <c r="G295" s="40">
        <v>70</v>
      </c>
      <c r="H295" s="45">
        <v>8571</v>
      </c>
      <c r="I295" s="40">
        <v>2</v>
      </c>
      <c r="J295" s="46">
        <v>2</v>
      </c>
      <c r="K295" s="40"/>
      <c r="L295" s="40">
        <v>8</v>
      </c>
      <c r="M295" s="40"/>
      <c r="N295" s="49">
        <f t="shared" ref="N295" si="66">J295*L295</f>
        <v>16</v>
      </c>
      <c r="O295" s="40">
        <v>1</v>
      </c>
      <c r="P295" s="57">
        <f t="shared" ref="P295:P301" si="67">N295+O295</f>
        <v>17</v>
      </c>
    </row>
    <row r="296" spans="2:16" ht="18.75" customHeight="1">
      <c r="B296" s="262"/>
      <c r="C296" s="40" t="s">
        <v>1070</v>
      </c>
      <c r="D296" s="40" t="s">
        <v>875</v>
      </c>
      <c r="E296" s="40"/>
      <c r="F296" s="40"/>
      <c r="G296" s="40"/>
      <c r="H296" s="45"/>
      <c r="I296" s="40"/>
      <c r="J296" s="46"/>
      <c r="K296" s="40"/>
      <c r="L296" s="40"/>
      <c r="M296" s="40"/>
      <c r="N296" s="49"/>
      <c r="O296" s="40"/>
      <c r="P296" s="57"/>
    </row>
    <row r="297" spans="2:16" ht="18.75" customHeight="1">
      <c r="B297" s="262"/>
      <c r="C297" s="40" t="s">
        <v>1071</v>
      </c>
      <c r="D297" s="40"/>
      <c r="E297" s="40"/>
      <c r="F297" s="40"/>
      <c r="G297" s="40" t="s">
        <v>1049</v>
      </c>
      <c r="H297" s="45" t="s">
        <v>1050</v>
      </c>
      <c r="I297" s="40">
        <v>43</v>
      </c>
      <c r="J297" s="46">
        <f>I297</f>
        <v>43</v>
      </c>
      <c r="K297" s="40" t="s">
        <v>39</v>
      </c>
      <c r="L297" s="57">
        <v>0.5</v>
      </c>
      <c r="M297" s="40" t="s">
        <v>1051</v>
      </c>
      <c r="N297" s="49">
        <f t="shared" ref="N297:N301" si="68">J297*L297</f>
        <v>21.5</v>
      </c>
      <c r="O297" s="40"/>
      <c r="P297" s="57">
        <f t="shared" si="67"/>
        <v>21.5</v>
      </c>
    </row>
    <row r="298" spans="2:16" ht="18.75" customHeight="1">
      <c r="B298" s="262"/>
      <c r="C298" s="40" t="s">
        <v>1072</v>
      </c>
      <c r="D298" s="40"/>
      <c r="E298" s="40"/>
      <c r="F298" s="40"/>
      <c r="G298" s="40" t="s">
        <v>1049</v>
      </c>
      <c r="H298" s="45" t="s">
        <v>1053</v>
      </c>
      <c r="I298" s="40">
        <v>7</v>
      </c>
      <c r="J298" s="46">
        <f>I298</f>
        <v>7</v>
      </c>
      <c r="K298" s="40" t="s">
        <v>39</v>
      </c>
      <c r="L298" s="57">
        <v>0.5</v>
      </c>
      <c r="M298" s="40" t="s">
        <v>1051</v>
      </c>
      <c r="N298" s="49">
        <f t="shared" si="68"/>
        <v>3.5</v>
      </c>
      <c r="O298" s="40"/>
      <c r="P298" s="57">
        <f t="shared" si="67"/>
        <v>3.5</v>
      </c>
    </row>
    <row r="299" spans="2:16" ht="18.75" customHeight="1">
      <c r="B299" s="262"/>
      <c r="C299" s="40" t="s">
        <v>1073</v>
      </c>
      <c r="D299" s="40"/>
      <c r="E299" s="40"/>
      <c r="F299" s="40"/>
      <c r="G299" s="40" t="s">
        <v>1055</v>
      </c>
      <c r="H299" s="45" t="s">
        <v>1056</v>
      </c>
      <c r="I299" s="40">
        <v>14</v>
      </c>
      <c r="J299" s="46">
        <f>I299</f>
        <v>14</v>
      </c>
      <c r="K299" s="40" t="s">
        <v>39</v>
      </c>
      <c r="L299" s="57">
        <v>0.5</v>
      </c>
      <c r="M299" s="40" t="s">
        <v>1051</v>
      </c>
      <c r="N299" s="49">
        <f t="shared" si="68"/>
        <v>7</v>
      </c>
      <c r="O299" s="40"/>
      <c r="P299" s="57">
        <f t="shared" si="67"/>
        <v>7</v>
      </c>
    </row>
    <row r="300" spans="2:16" ht="18.75" customHeight="1">
      <c r="B300" s="262"/>
      <c r="C300" s="40" t="s">
        <v>1074</v>
      </c>
      <c r="D300" s="40"/>
      <c r="E300" s="40"/>
      <c r="F300" s="40"/>
      <c r="G300" s="40" t="s">
        <v>1058</v>
      </c>
      <c r="H300" s="45"/>
      <c r="I300" s="40">
        <f>838/2</f>
        <v>419</v>
      </c>
      <c r="J300" s="46">
        <f>I300</f>
        <v>419</v>
      </c>
      <c r="K300" s="40" t="s">
        <v>39</v>
      </c>
      <c r="L300" s="57">
        <f>1/60*10</f>
        <v>0.16666666666666666</v>
      </c>
      <c r="M300" s="40" t="s">
        <v>1051</v>
      </c>
      <c r="N300" s="49">
        <f t="shared" si="68"/>
        <v>69.833333333333329</v>
      </c>
      <c r="O300" s="40"/>
      <c r="P300" s="57">
        <f t="shared" si="67"/>
        <v>69.833333333333329</v>
      </c>
    </row>
    <row r="301" spans="2:16" ht="18.75" customHeight="1">
      <c r="B301" s="263"/>
      <c r="C301" s="40" t="s">
        <v>1075</v>
      </c>
      <c r="D301" s="40" t="s">
        <v>875</v>
      </c>
      <c r="E301" s="40"/>
      <c r="F301" s="40">
        <v>24</v>
      </c>
      <c r="G301" s="40">
        <v>100</v>
      </c>
      <c r="H301" s="45">
        <v>500</v>
      </c>
      <c r="I301" s="40">
        <v>2</v>
      </c>
      <c r="J301" s="46">
        <v>1</v>
      </c>
      <c r="K301" s="40"/>
      <c r="L301" s="40">
        <v>6</v>
      </c>
      <c r="M301" s="40"/>
      <c r="N301" s="49">
        <f t="shared" si="68"/>
        <v>6</v>
      </c>
      <c r="O301" s="40">
        <v>1</v>
      </c>
      <c r="P301" s="57">
        <f t="shared" si="67"/>
        <v>7</v>
      </c>
    </row>
    <row r="302" spans="2:16" ht="18.75" customHeight="1">
      <c r="C302" s="34"/>
      <c r="D302" s="34"/>
      <c r="E302" s="34"/>
    </row>
    <row r="303" spans="2:16" ht="18.75" customHeight="1">
      <c r="B303" s="264" t="s">
        <v>1158</v>
      </c>
      <c r="C303" s="40" t="s">
        <v>846</v>
      </c>
      <c r="D303" s="40"/>
      <c r="E303" s="40"/>
      <c r="F303" s="40">
        <v>1000</v>
      </c>
      <c r="G303" s="40"/>
      <c r="H303" s="45"/>
      <c r="I303" s="40">
        <v>1</v>
      </c>
      <c r="J303" s="46">
        <f t="shared" ref="J303:J320" si="69">I303</f>
        <v>1</v>
      </c>
      <c r="K303" s="40"/>
      <c r="L303" s="40">
        <f>VLOOKUP(F303,BM!$A$2:$X$57,2,FALSE)</f>
        <v>12</v>
      </c>
      <c r="M303" s="40"/>
      <c r="N303" s="49">
        <f t="shared" ref="N303:N327" si="70">J303*L303</f>
        <v>12</v>
      </c>
      <c r="O303" s="40">
        <v>1</v>
      </c>
      <c r="P303" s="57">
        <f t="shared" ref="P303:P327" si="71">N303+O303</f>
        <v>13</v>
      </c>
    </row>
    <row r="304" spans="2:16" ht="18.75" customHeight="1">
      <c r="B304" s="265"/>
      <c r="C304" s="40" t="s">
        <v>1076</v>
      </c>
      <c r="D304" s="40"/>
      <c r="E304" s="40"/>
      <c r="F304" s="40">
        <v>1000</v>
      </c>
      <c r="G304" s="40"/>
      <c r="H304" s="45"/>
      <c r="I304" s="40">
        <v>1</v>
      </c>
      <c r="J304" s="46">
        <f t="shared" si="69"/>
        <v>1</v>
      </c>
      <c r="K304" s="40" t="s">
        <v>81</v>
      </c>
      <c r="L304" s="40">
        <f>VLOOKUP(F304,BM!$A$2:$X$57,3,FALSE)</f>
        <v>4</v>
      </c>
      <c r="M304" s="40"/>
      <c r="N304" s="49">
        <f t="shared" si="70"/>
        <v>4</v>
      </c>
      <c r="O304" s="40">
        <v>1</v>
      </c>
      <c r="P304" s="57">
        <f t="shared" si="71"/>
        <v>5</v>
      </c>
    </row>
    <row r="305" spans="2:16" ht="18.75" customHeight="1">
      <c r="B305" s="265"/>
      <c r="C305" s="40" t="s">
        <v>1077</v>
      </c>
      <c r="D305" s="40"/>
      <c r="E305" s="40"/>
      <c r="F305" s="40">
        <v>1000</v>
      </c>
      <c r="G305" s="40"/>
      <c r="H305" s="45"/>
      <c r="I305" s="40">
        <v>17</v>
      </c>
      <c r="J305" s="46">
        <f t="shared" si="69"/>
        <v>17</v>
      </c>
      <c r="K305" s="40" t="s">
        <v>81</v>
      </c>
      <c r="L305" s="40">
        <f>VLOOKUP(F305,BM!$A$2:$X$57,4,FALSE)</f>
        <v>0.15</v>
      </c>
      <c r="M305" s="40"/>
      <c r="N305" s="49">
        <f t="shared" si="70"/>
        <v>2.5499999999999998</v>
      </c>
      <c r="O305" s="40">
        <v>1</v>
      </c>
      <c r="P305" s="57">
        <f t="shared" si="71"/>
        <v>3.55</v>
      </c>
    </row>
    <row r="306" spans="2:16" ht="18.75" customHeight="1">
      <c r="B306" s="265"/>
      <c r="C306" s="40" t="s">
        <v>1078</v>
      </c>
      <c r="D306" s="40"/>
      <c r="E306" s="40"/>
      <c r="F306" s="40">
        <v>1000</v>
      </c>
      <c r="G306" s="40"/>
      <c r="H306" s="45"/>
      <c r="I306" s="40">
        <v>22</v>
      </c>
      <c r="J306" s="46">
        <f t="shared" si="69"/>
        <v>22</v>
      </c>
      <c r="K306" s="40" t="s">
        <v>81</v>
      </c>
      <c r="L306" s="40">
        <f>VLOOKUP(F306,BM!$A$2:$X$57,5,FALSE)</f>
        <v>0.5</v>
      </c>
      <c r="M306" s="40"/>
      <c r="N306" s="49">
        <f t="shared" si="70"/>
        <v>11</v>
      </c>
      <c r="O306" s="40">
        <v>1</v>
      </c>
      <c r="P306" s="57">
        <f t="shared" si="71"/>
        <v>12</v>
      </c>
    </row>
    <row r="307" spans="2:16" ht="18.75" customHeight="1">
      <c r="B307" s="265"/>
      <c r="C307" s="40" t="s">
        <v>850</v>
      </c>
      <c r="D307" s="40"/>
      <c r="E307" s="40"/>
      <c r="F307" s="40">
        <v>1000</v>
      </c>
      <c r="G307" s="40"/>
      <c r="H307" s="45"/>
      <c r="I307" s="40">
        <v>500</v>
      </c>
      <c r="J307" s="46">
        <f t="shared" si="69"/>
        <v>500</v>
      </c>
      <c r="K307" s="40" t="s">
        <v>81</v>
      </c>
      <c r="L307" s="62">
        <f>VLOOKUP(F307,BM!$A$2:$X$57,6,FALSE)</f>
        <v>8.3333333333333329E-2</v>
      </c>
      <c r="M307" s="62"/>
      <c r="N307" s="49">
        <f t="shared" si="70"/>
        <v>41.666666666666664</v>
      </c>
      <c r="O307" s="40">
        <v>1</v>
      </c>
      <c r="P307" s="57">
        <f t="shared" si="71"/>
        <v>42.666666666666664</v>
      </c>
    </row>
    <row r="308" spans="2:16" ht="18.75" customHeight="1">
      <c r="B308" s="265"/>
      <c r="C308" s="40" t="s">
        <v>1079</v>
      </c>
      <c r="D308" s="40"/>
      <c r="E308" s="40"/>
      <c r="F308" s="40">
        <v>1000</v>
      </c>
      <c r="G308" s="40"/>
      <c r="H308" s="45"/>
      <c r="I308" s="40">
        <v>10</v>
      </c>
      <c r="J308" s="46">
        <f t="shared" si="69"/>
        <v>10</v>
      </c>
      <c r="K308" s="40" t="s">
        <v>81</v>
      </c>
      <c r="L308" s="40">
        <f>VLOOKUP(F308,BM!$A$2:$X$57,10,FALSE)</f>
        <v>0.25</v>
      </c>
      <c r="M308" s="40"/>
      <c r="N308" s="49">
        <f t="shared" si="70"/>
        <v>2.5</v>
      </c>
      <c r="O308" s="40">
        <v>1</v>
      </c>
      <c r="P308" s="57">
        <f t="shared" si="71"/>
        <v>3.5</v>
      </c>
    </row>
    <row r="309" spans="2:16" ht="18.75" customHeight="1">
      <c r="B309" s="265"/>
      <c r="C309" s="40" t="s">
        <v>850</v>
      </c>
      <c r="D309" s="40"/>
      <c r="E309" s="40"/>
      <c r="F309" s="40">
        <v>1000</v>
      </c>
      <c r="G309" s="40"/>
      <c r="H309" s="45"/>
      <c r="I309" s="40">
        <v>550</v>
      </c>
      <c r="J309" s="46">
        <f t="shared" si="69"/>
        <v>550</v>
      </c>
      <c r="K309" s="40" t="s">
        <v>81</v>
      </c>
      <c r="L309" s="57">
        <f>VLOOKUP(F309,BM!$A$2:$X$57,6,FALSE)</f>
        <v>8.3333333333333329E-2</v>
      </c>
      <c r="M309" s="57"/>
      <c r="N309" s="49">
        <f t="shared" si="70"/>
        <v>45.833333333333329</v>
      </c>
      <c r="O309" s="40">
        <v>1</v>
      </c>
      <c r="P309" s="57">
        <f t="shared" si="71"/>
        <v>46.833333333333329</v>
      </c>
    </row>
    <row r="310" spans="2:16" ht="18.75" customHeight="1">
      <c r="B310" s="265"/>
      <c r="C310" s="40" t="s">
        <v>1080</v>
      </c>
      <c r="D310" s="40"/>
      <c r="E310" s="40"/>
      <c r="F310" s="40">
        <v>1000</v>
      </c>
      <c r="G310" s="40"/>
      <c r="H310" s="45"/>
      <c r="I310" s="40">
        <v>0</v>
      </c>
      <c r="J310" s="46">
        <f t="shared" si="69"/>
        <v>0</v>
      </c>
      <c r="K310" s="40" t="s">
        <v>81</v>
      </c>
      <c r="L310" s="40">
        <f>VLOOKUP(F310,BM!$A$2:$X$57,8,FALSE)</f>
        <v>2</v>
      </c>
      <c r="M310" s="40"/>
      <c r="N310" s="49">
        <f t="shared" si="70"/>
        <v>0</v>
      </c>
      <c r="O310" s="40">
        <v>1</v>
      </c>
      <c r="P310" s="57">
        <f t="shared" si="71"/>
        <v>1</v>
      </c>
    </row>
    <row r="311" spans="2:16" ht="18.75" customHeight="1">
      <c r="B311" s="265"/>
      <c r="C311" s="40" t="s">
        <v>1081</v>
      </c>
      <c r="D311" s="40"/>
      <c r="E311" s="40"/>
      <c r="F311" s="40">
        <v>1000</v>
      </c>
      <c r="G311" s="40"/>
      <c r="H311" s="45"/>
      <c r="I311" s="40">
        <v>2</v>
      </c>
      <c r="J311" s="46">
        <f t="shared" si="69"/>
        <v>2</v>
      </c>
      <c r="K311" s="40" t="s">
        <v>81</v>
      </c>
      <c r="L311" s="40">
        <f>VLOOKUP(F311,BM!$A$2:$X$57,8,FALSE)</f>
        <v>2</v>
      </c>
      <c r="M311" s="40"/>
      <c r="N311" s="49">
        <f t="shared" si="70"/>
        <v>4</v>
      </c>
      <c r="O311" s="40">
        <v>1</v>
      </c>
      <c r="P311" s="57">
        <f t="shared" si="71"/>
        <v>5</v>
      </c>
    </row>
    <row r="312" spans="2:16" ht="18.75" customHeight="1">
      <c r="B312" s="265"/>
      <c r="C312" s="40" t="s">
        <v>1082</v>
      </c>
      <c r="D312" s="40"/>
      <c r="E312" s="40"/>
      <c r="F312" s="40">
        <v>1000</v>
      </c>
      <c r="G312" s="40"/>
      <c r="H312" s="45"/>
      <c r="I312" s="40">
        <v>60</v>
      </c>
      <c r="J312" s="46">
        <f t="shared" si="69"/>
        <v>60</v>
      </c>
      <c r="K312" s="40" t="s">
        <v>81</v>
      </c>
      <c r="L312" s="40">
        <f>VLOOKUP(F312,BM!$A$2:$X$57,9,FALSE)</f>
        <v>0.25</v>
      </c>
      <c r="M312" s="40"/>
      <c r="N312" s="49">
        <f t="shared" si="70"/>
        <v>15</v>
      </c>
      <c r="O312" s="40">
        <v>1</v>
      </c>
      <c r="P312" s="57">
        <f t="shared" si="71"/>
        <v>16</v>
      </c>
    </row>
    <row r="313" spans="2:16" ht="18.75" customHeight="1">
      <c r="B313" s="265"/>
      <c r="C313" s="40" t="s">
        <v>1083</v>
      </c>
      <c r="D313" s="40"/>
      <c r="E313" s="40"/>
      <c r="F313" s="40">
        <v>1000</v>
      </c>
      <c r="G313" s="40"/>
      <c r="H313" s="45"/>
      <c r="I313" s="40">
        <v>60</v>
      </c>
      <c r="J313" s="46">
        <f t="shared" si="69"/>
        <v>60</v>
      </c>
      <c r="K313" s="40" t="s">
        <v>81</v>
      </c>
      <c r="L313" s="40">
        <v>0.15</v>
      </c>
      <c r="M313" s="40"/>
      <c r="N313" s="49">
        <f t="shared" si="70"/>
        <v>9</v>
      </c>
      <c r="O313" s="40">
        <v>1</v>
      </c>
      <c r="P313" s="57">
        <f t="shared" si="71"/>
        <v>10</v>
      </c>
    </row>
    <row r="314" spans="2:16" ht="18.75" customHeight="1">
      <c r="B314" s="265"/>
      <c r="C314" s="40" t="s">
        <v>1084</v>
      </c>
      <c r="D314" s="40"/>
      <c r="E314" s="40"/>
      <c r="F314" s="40">
        <v>1000</v>
      </c>
      <c r="G314" s="40"/>
      <c r="H314" s="45"/>
      <c r="I314" s="40">
        <v>1</v>
      </c>
      <c r="J314" s="46">
        <f t="shared" si="69"/>
        <v>1</v>
      </c>
      <c r="K314" s="40" t="s">
        <v>81</v>
      </c>
      <c r="L314" s="40">
        <f>VLOOKUP(F314,BM!$A$2:$X$57,12,FALSE)</f>
        <v>16</v>
      </c>
      <c r="M314" s="40"/>
      <c r="N314" s="49">
        <f t="shared" si="70"/>
        <v>16</v>
      </c>
      <c r="O314" s="40">
        <v>1</v>
      </c>
      <c r="P314" s="57">
        <f t="shared" si="71"/>
        <v>17</v>
      </c>
    </row>
    <row r="315" spans="2:16" ht="18.75" customHeight="1">
      <c r="B315" s="265"/>
      <c r="C315" s="40" t="s">
        <v>1085</v>
      </c>
      <c r="D315" s="40"/>
      <c r="E315" s="40"/>
      <c r="F315" s="40">
        <v>1000</v>
      </c>
      <c r="G315" s="40"/>
      <c r="H315" s="45"/>
      <c r="I315" s="40">
        <v>1</v>
      </c>
      <c r="J315" s="46">
        <f t="shared" si="69"/>
        <v>1</v>
      </c>
      <c r="K315" s="40" t="s">
        <v>81</v>
      </c>
      <c r="L315" s="40">
        <f>VLOOKUP(F315,BM!$A$2:$X$57,17,FALSE)</f>
        <v>16</v>
      </c>
      <c r="M315" s="40"/>
      <c r="N315" s="49">
        <f t="shared" si="70"/>
        <v>16</v>
      </c>
      <c r="O315" s="40">
        <v>1</v>
      </c>
      <c r="P315" s="57">
        <f t="shared" si="71"/>
        <v>17</v>
      </c>
    </row>
    <row r="316" spans="2:16" ht="18.75" customHeight="1">
      <c r="B316" s="265"/>
      <c r="C316" s="40" t="s">
        <v>1086</v>
      </c>
      <c r="D316" s="40"/>
      <c r="E316" s="40"/>
      <c r="F316" s="40">
        <v>1000</v>
      </c>
      <c r="G316" s="40"/>
      <c r="H316" s="45"/>
      <c r="I316" s="40">
        <v>56</v>
      </c>
      <c r="J316" s="46">
        <f t="shared" si="69"/>
        <v>56</v>
      </c>
      <c r="K316" s="40" t="s">
        <v>81</v>
      </c>
      <c r="L316" s="40">
        <f>VLOOKUP(F316,BM!$A$2:$X$57,13,FALSE)</f>
        <v>0.5</v>
      </c>
      <c r="M316" s="40"/>
      <c r="N316" s="49">
        <f t="shared" si="70"/>
        <v>28</v>
      </c>
      <c r="O316" s="40">
        <v>1</v>
      </c>
      <c r="P316" s="57">
        <f t="shared" si="71"/>
        <v>29</v>
      </c>
    </row>
    <row r="317" spans="2:16" ht="18.75" customHeight="1">
      <c r="B317" s="265"/>
      <c r="C317" s="40" t="s">
        <v>1087</v>
      </c>
      <c r="D317" s="40"/>
      <c r="E317" s="40"/>
      <c r="F317" s="40">
        <v>1000</v>
      </c>
      <c r="G317" s="40"/>
      <c r="H317" s="45"/>
      <c r="I317" s="40">
        <v>1050</v>
      </c>
      <c r="J317" s="46">
        <f t="shared" si="69"/>
        <v>1050</v>
      </c>
      <c r="K317" s="40" t="s">
        <v>81</v>
      </c>
      <c r="L317" s="40">
        <f>VLOOKUP(F317,BM!$A$2:$X$57,20,FALSE)</f>
        <v>0.05</v>
      </c>
      <c r="M317" s="40"/>
      <c r="N317" s="49">
        <f t="shared" si="70"/>
        <v>52.5</v>
      </c>
      <c r="O317" s="40">
        <v>1</v>
      </c>
      <c r="P317" s="57">
        <f t="shared" si="71"/>
        <v>53.5</v>
      </c>
    </row>
    <row r="318" spans="2:16" ht="18.75" customHeight="1">
      <c r="B318" s="265"/>
      <c r="C318" s="40" t="s">
        <v>1088</v>
      </c>
      <c r="D318" s="40"/>
      <c r="E318" s="40"/>
      <c r="F318" s="40">
        <v>1000</v>
      </c>
      <c r="G318" s="40"/>
      <c r="H318" s="45"/>
      <c r="I318" s="40">
        <v>1050</v>
      </c>
      <c r="J318" s="46">
        <f t="shared" si="69"/>
        <v>1050</v>
      </c>
      <c r="K318" s="40" t="s">
        <v>81</v>
      </c>
      <c r="L318" s="40">
        <f>VLOOKUP(F318,BM!$A$2:$X$57,20,FALSE)</f>
        <v>0.05</v>
      </c>
      <c r="M318" s="40"/>
      <c r="N318" s="49">
        <f t="shared" si="70"/>
        <v>52.5</v>
      </c>
      <c r="O318" s="40">
        <v>1</v>
      </c>
      <c r="P318" s="57">
        <f t="shared" si="71"/>
        <v>53.5</v>
      </c>
    </row>
    <row r="319" spans="2:16" ht="18.75" customHeight="1">
      <c r="B319" s="265"/>
      <c r="C319" s="40" t="s">
        <v>863</v>
      </c>
      <c r="D319" s="40"/>
      <c r="E319" s="40"/>
      <c r="F319" s="40">
        <v>1000</v>
      </c>
      <c r="G319" s="40"/>
      <c r="H319" s="45"/>
      <c r="I319" s="40">
        <v>1461</v>
      </c>
      <c r="J319" s="46">
        <f t="shared" si="69"/>
        <v>1461</v>
      </c>
      <c r="K319" s="40" t="s">
        <v>81</v>
      </c>
      <c r="L319" s="40">
        <f>VLOOKUP(F319,BM!$A$2:$X$57,20,FALSE)</f>
        <v>0.05</v>
      </c>
      <c r="M319" s="40"/>
      <c r="N319" s="49">
        <f t="shared" si="70"/>
        <v>73.05</v>
      </c>
      <c r="O319" s="40">
        <v>1</v>
      </c>
      <c r="P319" s="57">
        <f t="shared" si="71"/>
        <v>74.05</v>
      </c>
    </row>
    <row r="320" spans="2:16" ht="18.75" customHeight="1">
      <c r="B320" s="265"/>
      <c r="C320" s="40" t="s">
        <v>1089</v>
      </c>
      <c r="D320" s="40"/>
      <c r="E320" s="40"/>
      <c r="F320" s="40">
        <v>1000</v>
      </c>
      <c r="G320" s="40"/>
      <c r="H320" s="45"/>
      <c r="I320" s="40">
        <f>1050*2</f>
        <v>2100</v>
      </c>
      <c r="J320" s="46">
        <f t="shared" si="69"/>
        <v>2100</v>
      </c>
      <c r="K320" s="40" t="s">
        <v>81</v>
      </c>
      <c r="L320" s="40">
        <f>VLOOKUP(F320,BM!$A$2:$X$57,20,FALSE)</f>
        <v>0.05</v>
      </c>
      <c r="M320" s="40"/>
      <c r="N320" s="49">
        <f t="shared" si="70"/>
        <v>105</v>
      </c>
      <c r="O320" s="40">
        <v>1</v>
      </c>
      <c r="P320" s="57">
        <f t="shared" si="71"/>
        <v>106</v>
      </c>
    </row>
    <row r="321" spans="2:16" ht="18.75" customHeight="1">
      <c r="B321" s="265"/>
      <c r="C321" s="40" t="s">
        <v>1090</v>
      </c>
      <c r="D321" s="40"/>
      <c r="E321" s="40"/>
      <c r="F321" s="40" t="s">
        <v>581</v>
      </c>
      <c r="G321" s="40"/>
      <c r="H321" s="45"/>
      <c r="I321" s="40">
        <v>1</v>
      </c>
      <c r="J321" s="46">
        <v>1</v>
      </c>
      <c r="K321" s="40" t="s">
        <v>81</v>
      </c>
      <c r="L321" s="40">
        <v>10</v>
      </c>
      <c r="M321" s="40"/>
      <c r="N321" s="49">
        <f t="shared" si="70"/>
        <v>10</v>
      </c>
      <c r="O321" s="40">
        <v>1</v>
      </c>
      <c r="P321" s="57">
        <f t="shared" si="71"/>
        <v>11</v>
      </c>
    </row>
    <row r="322" spans="2:16" ht="18.75" customHeight="1">
      <c r="B322" s="265"/>
      <c r="C322" s="40" t="s">
        <v>677</v>
      </c>
      <c r="D322" s="40"/>
      <c r="E322" s="40"/>
      <c r="F322" s="40">
        <v>1000</v>
      </c>
      <c r="G322" s="40"/>
      <c r="H322" s="45"/>
      <c r="I322" s="40">
        <v>1</v>
      </c>
      <c r="J322" s="46">
        <f t="shared" ref="J322:J327" si="72">I322</f>
        <v>1</v>
      </c>
      <c r="K322" s="40" t="s">
        <v>81</v>
      </c>
      <c r="L322" s="40">
        <v>16</v>
      </c>
      <c r="M322" s="40"/>
      <c r="N322" s="49">
        <f t="shared" si="70"/>
        <v>16</v>
      </c>
      <c r="O322" s="40">
        <v>1</v>
      </c>
      <c r="P322" s="57">
        <f t="shared" si="71"/>
        <v>17</v>
      </c>
    </row>
    <row r="323" spans="2:16" ht="18.75" customHeight="1">
      <c r="B323" s="265"/>
      <c r="C323" s="40" t="s">
        <v>1091</v>
      </c>
      <c r="D323" s="40"/>
      <c r="E323" s="40"/>
      <c r="F323" s="40">
        <v>1000</v>
      </c>
      <c r="G323" s="40"/>
      <c r="H323" s="45"/>
      <c r="I323" s="40">
        <v>55</v>
      </c>
      <c r="J323" s="46">
        <f t="shared" si="72"/>
        <v>55</v>
      </c>
      <c r="K323" s="40" t="s">
        <v>1092</v>
      </c>
      <c r="L323" s="65">
        <f>VLOOKUP(F323,BM!$A$2:$X$57,14,FALSE)</f>
        <v>0.16666666666666666</v>
      </c>
      <c r="M323" s="65"/>
      <c r="N323" s="49">
        <f t="shared" si="70"/>
        <v>9.1666666666666661</v>
      </c>
      <c r="O323" s="40">
        <v>1</v>
      </c>
      <c r="P323" s="57">
        <f t="shared" si="71"/>
        <v>10.166666666666666</v>
      </c>
    </row>
    <row r="324" spans="2:16" ht="18.75" customHeight="1">
      <c r="B324" s="265"/>
      <c r="C324" s="40" t="s">
        <v>1093</v>
      </c>
      <c r="D324" s="40"/>
      <c r="E324" s="40"/>
      <c r="F324" s="40">
        <v>1000</v>
      </c>
      <c r="G324" s="40"/>
      <c r="H324" s="45"/>
      <c r="I324" s="40">
        <v>55</v>
      </c>
      <c r="J324" s="46">
        <f t="shared" si="72"/>
        <v>55</v>
      </c>
      <c r="K324" s="40" t="s">
        <v>1092</v>
      </c>
      <c r="L324" s="40">
        <f>VLOOKUP(F324,BM!$A$2:$X$57,13,FALSE)</f>
        <v>0.5</v>
      </c>
      <c r="M324" s="40"/>
      <c r="N324" s="49">
        <f t="shared" si="70"/>
        <v>27.5</v>
      </c>
      <c r="O324" s="40">
        <v>1</v>
      </c>
      <c r="P324" s="57">
        <f t="shared" si="71"/>
        <v>28.5</v>
      </c>
    </row>
    <row r="325" spans="2:16" ht="18.75" customHeight="1">
      <c r="B325" s="265"/>
      <c r="C325" s="40" t="s">
        <v>719</v>
      </c>
      <c r="D325" s="40"/>
      <c r="E325" s="40"/>
      <c r="F325" s="40">
        <v>1000</v>
      </c>
      <c r="G325" s="40"/>
      <c r="H325" s="45"/>
      <c r="I325" s="40">
        <v>1</v>
      </c>
      <c r="J325" s="46">
        <f t="shared" si="72"/>
        <v>1</v>
      </c>
      <c r="K325" s="40" t="s">
        <v>81</v>
      </c>
      <c r="L325" s="40">
        <v>16</v>
      </c>
      <c r="M325" s="40"/>
      <c r="N325" s="49">
        <f t="shared" si="70"/>
        <v>16</v>
      </c>
      <c r="O325" s="40">
        <v>1</v>
      </c>
      <c r="P325" s="57">
        <f t="shared" si="71"/>
        <v>17</v>
      </c>
    </row>
    <row r="326" spans="2:16" ht="18.75" customHeight="1">
      <c r="B326" s="265"/>
      <c r="C326" s="40" t="s">
        <v>1094</v>
      </c>
      <c r="D326" s="40"/>
      <c r="E326" s="40"/>
      <c r="F326" s="40">
        <v>1000</v>
      </c>
      <c r="G326" s="40"/>
      <c r="H326" s="45"/>
      <c r="I326" s="40">
        <v>55</v>
      </c>
      <c r="J326" s="46">
        <f t="shared" si="72"/>
        <v>55</v>
      </c>
      <c r="K326" s="40" t="s">
        <v>81</v>
      </c>
      <c r="L326" s="40">
        <f>VLOOKUP(F326,BM!$A$2:$X$57,13,FALSE)</f>
        <v>0.5</v>
      </c>
      <c r="M326" s="40"/>
      <c r="N326" s="49">
        <f t="shared" si="70"/>
        <v>27.5</v>
      </c>
      <c r="O326" s="40">
        <v>1</v>
      </c>
      <c r="P326" s="57">
        <f t="shared" si="71"/>
        <v>28.5</v>
      </c>
    </row>
    <row r="327" spans="2:16" ht="18.75" customHeight="1">
      <c r="B327" s="266"/>
      <c r="C327" s="40" t="s">
        <v>677</v>
      </c>
      <c r="D327" s="40"/>
      <c r="E327" s="40"/>
      <c r="F327" s="40">
        <v>1000</v>
      </c>
      <c r="G327" s="40"/>
      <c r="H327" s="45"/>
      <c r="I327" s="40">
        <v>1</v>
      </c>
      <c r="J327" s="46">
        <f t="shared" si="72"/>
        <v>1</v>
      </c>
      <c r="K327" s="40" t="s">
        <v>81</v>
      </c>
      <c r="L327" s="40">
        <v>16</v>
      </c>
      <c r="M327" s="40"/>
      <c r="N327" s="49">
        <f t="shared" si="70"/>
        <v>16</v>
      </c>
      <c r="O327" s="40">
        <v>1</v>
      </c>
      <c r="P327" s="57">
        <f t="shared" si="71"/>
        <v>17</v>
      </c>
    </row>
    <row r="328" spans="2:16" ht="18.75" customHeight="1">
      <c r="J328" s="47"/>
      <c r="K328" s="47"/>
      <c r="L328" s="48"/>
      <c r="M328" s="48"/>
      <c r="N328" s="48"/>
      <c r="O328" s="48"/>
      <c r="P328" s="48"/>
    </row>
    <row r="329" spans="2:16" ht="18.75" customHeight="1">
      <c r="C329" s="40" t="s">
        <v>1095</v>
      </c>
      <c r="D329" s="40"/>
      <c r="E329" s="40"/>
      <c r="F329" s="40" t="s">
        <v>695</v>
      </c>
      <c r="G329" s="40"/>
      <c r="H329" s="45"/>
      <c r="I329" s="40"/>
      <c r="J329" s="46">
        <v>1</v>
      </c>
      <c r="K329" s="40" t="s">
        <v>39</v>
      </c>
      <c r="L329" s="40">
        <f>VLOOKUP(F329,BM!$A$2:$X$57,2,FALSE)</f>
        <v>2</v>
      </c>
      <c r="M329" s="40"/>
      <c r="N329" s="49">
        <f t="shared" ref="N329:N363" si="73">J329*L329</f>
        <v>2</v>
      </c>
      <c r="O329" s="40">
        <v>1</v>
      </c>
      <c r="P329" s="57">
        <f>N329+O329</f>
        <v>3</v>
      </c>
    </row>
    <row r="330" spans="2:16" ht="18.75" customHeight="1">
      <c r="C330" s="40" t="s">
        <v>1095</v>
      </c>
      <c r="D330" s="40"/>
      <c r="E330" s="40"/>
      <c r="F330" s="40" t="s">
        <v>695</v>
      </c>
      <c r="G330" s="40"/>
      <c r="H330" s="45"/>
      <c r="I330" s="40"/>
      <c r="J330" s="46">
        <v>1</v>
      </c>
      <c r="K330" s="40" t="s">
        <v>39</v>
      </c>
      <c r="L330" s="40">
        <f>VLOOKUP(F330,BM!$A$2:$X$57,2,FALSE)</f>
        <v>2</v>
      </c>
      <c r="M330" s="40"/>
      <c r="N330" s="49">
        <f t="shared" si="73"/>
        <v>2</v>
      </c>
      <c r="O330" s="40">
        <v>1</v>
      </c>
      <c r="P330" s="57">
        <f>N330+O330</f>
        <v>3</v>
      </c>
    </row>
    <row r="331" spans="2:16" ht="18.75" customHeight="1">
      <c r="J331" s="47"/>
      <c r="K331" s="47"/>
      <c r="L331" s="48"/>
      <c r="M331" s="48"/>
      <c r="N331" s="48"/>
      <c r="O331" s="48"/>
      <c r="P331" s="48"/>
    </row>
    <row r="332" spans="2:16" ht="18.75" customHeight="1">
      <c r="C332" s="40" t="s">
        <v>1096</v>
      </c>
      <c r="D332" s="40"/>
      <c r="E332" s="40"/>
      <c r="F332" s="40" t="s">
        <v>695</v>
      </c>
      <c r="G332" s="40"/>
      <c r="H332" s="45"/>
      <c r="I332" s="40"/>
      <c r="J332" s="46">
        <v>1</v>
      </c>
      <c r="K332" s="40" t="s">
        <v>39</v>
      </c>
      <c r="L332" s="40">
        <f>VLOOKUP(F332,BM!$A$2:$X$57,3,FALSE)</f>
        <v>1</v>
      </c>
      <c r="M332" s="40"/>
      <c r="N332" s="49">
        <f t="shared" si="73"/>
        <v>1</v>
      </c>
      <c r="O332" s="40">
        <v>1</v>
      </c>
      <c r="P332" s="57">
        <f>N332+O332</f>
        <v>2</v>
      </c>
    </row>
    <row r="333" spans="2:16" ht="18.75" customHeight="1">
      <c r="C333" s="40" t="s">
        <v>1096</v>
      </c>
      <c r="D333" s="40"/>
      <c r="E333" s="40"/>
      <c r="F333" s="40" t="s">
        <v>695</v>
      </c>
      <c r="G333" s="40"/>
      <c r="H333" s="45"/>
      <c r="I333" s="40"/>
      <c r="J333" s="46">
        <v>1</v>
      </c>
      <c r="K333" s="40" t="s">
        <v>39</v>
      </c>
      <c r="L333" s="40">
        <f>VLOOKUP(F333,BM!$A$2:$X$57,3,FALSE)</f>
        <v>1</v>
      </c>
      <c r="M333" s="40"/>
      <c r="N333" s="49">
        <f t="shared" si="73"/>
        <v>1</v>
      </c>
      <c r="O333" s="40">
        <v>1</v>
      </c>
      <c r="P333" s="57">
        <f>N333+O333</f>
        <v>2</v>
      </c>
    </row>
    <row r="334" spans="2:16" ht="18.75" customHeight="1">
      <c r="E334" s="35"/>
      <c r="F334" s="35"/>
      <c r="G334" s="35"/>
      <c r="H334" s="47"/>
      <c r="I334" s="35"/>
      <c r="J334" s="48"/>
      <c r="K334" s="35"/>
      <c r="P334" s="61"/>
    </row>
    <row r="335" spans="2:16" ht="18.75" customHeight="1">
      <c r="C335" s="40" t="s">
        <v>1097</v>
      </c>
      <c r="D335" s="40"/>
      <c r="E335" s="40"/>
      <c r="F335" s="40" t="s">
        <v>695</v>
      </c>
      <c r="G335" s="40"/>
      <c r="H335" s="45"/>
      <c r="I335" s="40"/>
      <c r="J335" s="46">
        <v>1</v>
      </c>
      <c r="K335" s="40" t="s">
        <v>39</v>
      </c>
      <c r="L335" s="40">
        <f>VLOOKUP(F335,BM!$A$2:$X$57,4,FALSE)</f>
        <v>2.5538175999999999</v>
      </c>
      <c r="M335" s="40"/>
      <c r="N335" s="49">
        <f t="shared" si="73"/>
        <v>2.5538175999999999</v>
      </c>
      <c r="O335" s="40">
        <v>1</v>
      </c>
      <c r="P335" s="57">
        <f>N335+O335</f>
        <v>3.5538175999999999</v>
      </c>
    </row>
    <row r="336" spans="2:16" ht="18.75" customHeight="1">
      <c r="C336" s="40" t="s">
        <v>1097</v>
      </c>
      <c r="D336" s="40"/>
      <c r="E336" s="40"/>
      <c r="F336" s="40" t="s">
        <v>695</v>
      </c>
      <c r="G336" s="40"/>
      <c r="H336" s="45"/>
      <c r="I336" s="40"/>
      <c r="J336" s="46">
        <v>1</v>
      </c>
      <c r="K336" s="40" t="s">
        <v>39</v>
      </c>
      <c r="L336" s="40">
        <f>VLOOKUP(F336,BM!$A$2:$X$57,4,FALSE)</f>
        <v>2.5538175999999999</v>
      </c>
      <c r="M336" s="40"/>
      <c r="N336" s="49">
        <f t="shared" si="73"/>
        <v>2.5538175999999999</v>
      </c>
      <c r="O336" s="40">
        <v>1</v>
      </c>
      <c r="P336" s="57">
        <f>N336+O336</f>
        <v>3.5538175999999999</v>
      </c>
    </row>
    <row r="337" spans="3:16" ht="18.75" customHeight="1">
      <c r="J337" s="47"/>
      <c r="K337" s="47"/>
      <c r="L337" s="48"/>
      <c r="M337" s="48"/>
      <c r="N337" s="48"/>
      <c r="O337" s="48"/>
      <c r="P337" s="48"/>
    </row>
    <row r="338" spans="3:16" ht="18.75" customHeight="1">
      <c r="C338" s="40" t="s">
        <v>1098</v>
      </c>
      <c r="D338" s="40"/>
      <c r="E338" s="40"/>
      <c r="F338" s="40" t="s">
        <v>695</v>
      </c>
      <c r="G338" s="40"/>
      <c r="H338" s="45"/>
      <c r="I338" s="40"/>
      <c r="J338" s="46">
        <v>1</v>
      </c>
      <c r="K338" s="40"/>
      <c r="L338" s="40">
        <f>VLOOKUP(F338,BM!$A$2:$X$57,5,FALSE)</f>
        <v>2</v>
      </c>
      <c r="M338" s="40"/>
      <c r="N338" s="49">
        <f t="shared" si="73"/>
        <v>2</v>
      </c>
      <c r="O338" s="40">
        <v>1</v>
      </c>
      <c r="P338" s="57">
        <f>N338+O338</f>
        <v>3</v>
      </c>
    </row>
    <row r="339" spans="3:16" ht="18.75" customHeight="1">
      <c r="C339" s="40" t="s">
        <v>1098</v>
      </c>
      <c r="D339" s="40"/>
      <c r="E339" s="40"/>
      <c r="F339" s="40" t="s">
        <v>695</v>
      </c>
      <c r="G339" s="40"/>
      <c r="H339" s="45"/>
      <c r="I339" s="40"/>
      <c r="J339" s="46">
        <v>1</v>
      </c>
      <c r="K339" s="40"/>
      <c r="L339" s="40">
        <f>VLOOKUP(F339,BM!$A$2:$X$57,5,FALSE)</f>
        <v>2</v>
      </c>
      <c r="M339" s="40"/>
      <c r="N339" s="49">
        <f t="shared" si="73"/>
        <v>2</v>
      </c>
      <c r="O339" s="40">
        <v>1</v>
      </c>
      <c r="P339" s="57">
        <f>N339+O339</f>
        <v>3</v>
      </c>
    </row>
    <row r="340" spans="3:16" ht="18.75" customHeight="1">
      <c r="J340" s="47"/>
      <c r="K340" s="47"/>
      <c r="L340" s="48"/>
      <c r="M340" s="48"/>
      <c r="N340" s="48"/>
      <c r="O340" s="48"/>
      <c r="P340" s="48"/>
    </row>
    <row r="341" spans="3:16" ht="18.75" customHeight="1">
      <c r="C341" s="37" t="s">
        <v>866</v>
      </c>
      <c r="D341" s="38" t="s">
        <v>867</v>
      </c>
      <c r="E341" s="38"/>
      <c r="F341" s="39" t="s">
        <v>2</v>
      </c>
      <c r="G341" s="39" t="s">
        <v>1099</v>
      </c>
      <c r="H341" s="39" t="s">
        <v>1100</v>
      </c>
      <c r="I341" s="39" t="s">
        <v>4</v>
      </c>
      <c r="J341" s="39" t="s">
        <v>870</v>
      </c>
      <c r="K341" s="39" t="s">
        <v>5</v>
      </c>
      <c r="L341" s="39" t="s">
        <v>871</v>
      </c>
      <c r="M341" s="39" t="s">
        <v>5</v>
      </c>
      <c r="N341" s="39" t="s">
        <v>870</v>
      </c>
      <c r="O341" s="39" t="s">
        <v>872</v>
      </c>
      <c r="P341" s="39" t="s">
        <v>873</v>
      </c>
    </row>
    <row r="342" spans="3:16" ht="18.75" customHeight="1">
      <c r="C342" s="40" t="s">
        <v>1101</v>
      </c>
      <c r="D342" s="40"/>
      <c r="E342" s="40"/>
      <c r="F342" s="63">
        <v>16</v>
      </c>
      <c r="G342" s="63" t="s">
        <v>695</v>
      </c>
      <c r="H342" s="64">
        <f>16*25.4</f>
        <v>406.4</v>
      </c>
      <c r="I342" s="63">
        <v>1</v>
      </c>
      <c r="J342" s="46">
        <f>H342*3.142*0.001*I342</f>
        <v>1.2769088</v>
      </c>
      <c r="K342" s="40"/>
      <c r="L342" s="40">
        <f>VLOOKUP(F342,BM!$A$2:$X$57,17,FALSE)</f>
        <v>4.0199999999999996</v>
      </c>
      <c r="M342" s="40"/>
      <c r="N342" s="49">
        <f t="shared" si="73"/>
        <v>5.1331733759999993</v>
      </c>
      <c r="O342" s="40">
        <v>1</v>
      </c>
      <c r="P342" s="57">
        <f>N342+O342</f>
        <v>6.1331733759999993</v>
      </c>
    </row>
    <row r="343" spans="3:16" ht="18.75" customHeight="1">
      <c r="C343" s="40" t="s">
        <v>1101</v>
      </c>
      <c r="D343" s="40"/>
      <c r="E343" s="40"/>
      <c r="F343" s="63">
        <v>16</v>
      </c>
      <c r="G343" s="63" t="s">
        <v>695</v>
      </c>
      <c r="H343" s="64">
        <v>406.4</v>
      </c>
      <c r="I343" s="63">
        <v>1</v>
      </c>
      <c r="J343" s="46">
        <f>H343*3.142*0.001*I343</f>
        <v>1.2769088</v>
      </c>
      <c r="K343" s="40"/>
      <c r="L343" s="40">
        <f>VLOOKUP(F343,BM!$A$2:$X$57,17,FALSE)</f>
        <v>4.0199999999999996</v>
      </c>
      <c r="M343" s="40"/>
      <c r="N343" s="49">
        <f t="shared" ref="N343" si="74">J343*L343</f>
        <v>5.1331733759999993</v>
      </c>
      <c r="O343" s="40">
        <v>1</v>
      </c>
      <c r="P343" s="57">
        <f>N343+O343</f>
        <v>6.1331733759999993</v>
      </c>
    </row>
    <row r="344" spans="3:16" ht="18.75" customHeight="1">
      <c r="J344" s="47"/>
      <c r="K344" s="47"/>
      <c r="L344" s="48"/>
      <c r="M344" s="48"/>
      <c r="N344" s="48"/>
      <c r="O344" s="48"/>
      <c r="P344" s="48"/>
    </row>
    <row r="345" spans="3:16" ht="18.75" customHeight="1">
      <c r="C345" s="37" t="s">
        <v>866</v>
      </c>
      <c r="D345" s="38" t="s">
        <v>867</v>
      </c>
      <c r="E345" s="38"/>
      <c r="F345" s="39" t="s">
        <v>2</v>
      </c>
      <c r="G345" s="39" t="s">
        <v>1099</v>
      </c>
      <c r="H345" s="39" t="s">
        <v>1100</v>
      </c>
      <c r="I345" s="39" t="s">
        <v>4</v>
      </c>
      <c r="J345" s="39" t="s">
        <v>870</v>
      </c>
      <c r="K345" s="39" t="s">
        <v>5</v>
      </c>
      <c r="L345" s="39" t="s">
        <v>871</v>
      </c>
      <c r="M345" s="39" t="s">
        <v>5</v>
      </c>
      <c r="N345" s="39" t="s">
        <v>870</v>
      </c>
      <c r="O345" s="39" t="s">
        <v>872</v>
      </c>
      <c r="P345" s="39" t="s">
        <v>873</v>
      </c>
    </row>
    <row r="346" spans="3:16" ht="18.75" customHeight="1">
      <c r="C346" s="40" t="s">
        <v>1102</v>
      </c>
      <c r="D346" s="40"/>
      <c r="E346" s="40"/>
      <c r="F346" s="63">
        <v>16</v>
      </c>
      <c r="G346" s="63" t="s">
        <v>695</v>
      </c>
      <c r="H346" s="64">
        <f>16*25.4</f>
        <v>406.4</v>
      </c>
      <c r="I346" s="63">
        <v>1</v>
      </c>
      <c r="J346" s="46">
        <f>H346*3.142*0.001*I346</f>
        <v>1.2769088</v>
      </c>
      <c r="K346" s="40"/>
      <c r="L346" s="40">
        <f>VLOOKUP(F346,BM!$A$2:$X$57,20,FALSE)</f>
        <v>0.5</v>
      </c>
      <c r="M346" s="40"/>
      <c r="N346" s="49">
        <f t="shared" ref="N346:N347" si="75">J346*L346</f>
        <v>0.63845439999999998</v>
      </c>
      <c r="O346" s="40">
        <v>1</v>
      </c>
      <c r="P346" s="57">
        <f>N346+O346</f>
        <v>1.6384544000000001</v>
      </c>
    </row>
    <row r="347" spans="3:16" ht="18.75" customHeight="1">
      <c r="C347" s="40" t="s">
        <v>1102</v>
      </c>
      <c r="D347" s="40"/>
      <c r="E347" s="40"/>
      <c r="F347" s="63">
        <v>16</v>
      </c>
      <c r="G347" s="63" t="s">
        <v>695</v>
      </c>
      <c r="H347" s="64">
        <v>406.4</v>
      </c>
      <c r="I347" s="63">
        <v>1</v>
      </c>
      <c r="J347" s="46">
        <f>H347*3.142*0.001*I347</f>
        <v>1.2769088</v>
      </c>
      <c r="K347" s="40"/>
      <c r="L347" s="40">
        <f>VLOOKUP(F347,BM!$A$2:$X$57,20,FALSE)</f>
        <v>0.5</v>
      </c>
      <c r="M347" s="40"/>
      <c r="N347" s="49">
        <f t="shared" si="75"/>
        <v>0.63845439999999998</v>
      </c>
      <c r="O347" s="40">
        <v>1</v>
      </c>
      <c r="P347" s="57">
        <f>N347+O347</f>
        <v>1.6384544000000001</v>
      </c>
    </row>
    <row r="348" spans="3:16" ht="18.75" customHeight="1">
      <c r="J348" s="47"/>
      <c r="K348" s="47"/>
      <c r="L348" s="48"/>
      <c r="M348" s="48"/>
      <c r="N348" s="48"/>
      <c r="O348" s="48"/>
      <c r="P348" s="48"/>
    </row>
    <row r="349" spans="3:16" ht="18.75" customHeight="1">
      <c r="C349" s="37" t="s">
        <v>866</v>
      </c>
      <c r="D349" s="38" t="s">
        <v>867</v>
      </c>
      <c r="E349" s="38"/>
      <c r="F349" s="39" t="s">
        <v>2</v>
      </c>
      <c r="G349" s="39" t="s">
        <v>1099</v>
      </c>
      <c r="H349" s="39" t="s">
        <v>1100</v>
      </c>
      <c r="I349" s="39" t="s">
        <v>4</v>
      </c>
      <c r="J349" s="39" t="s">
        <v>870</v>
      </c>
      <c r="K349" s="39" t="s">
        <v>5</v>
      </c>
      <c r="L349" s="39" t="s">
        <v>871</v>
      </c>
      <c r="M349" s="39" t="s">
        <v>5</v>
      </c>
      <c r="N349" s="39" t="s">
        <v>870</v>
      </c>
      <c r="O349" s="39" t="s">
        <v>872</v>
      </c>
      <c r="P349" s="39" t="s">
        <v>873</v>
      </c>
    </row>
    <row r="350" spans="3:16" ht="18.75" customHeight="1">
      <c r="C350" s="40" t="s">
        <v>1103</v>
      </c>
      <c r="D350" s="40"/>
      <c r="E350" s="40"/>
      <c r="F350" s="63" t="s">
        <v>695</v>
      </c>
      <c r="G350" s="40"/>
      <c r="H350" s="45"/>
      <c r="I350" s="63">
        <v>1</v>
      </c>
      <c r="J350" s="66">
        <v>1</v>
      </c>
      <c r="K350" s="40"/>
      <c r="L350" s="40">
        <f>VLOOKUP(F350,BM!$A$2:$X$57,8,FALSE)</f>
        <v>1</v>
      </c>
      <c r="M350" s="40"/>
      <c r="N350" s="49">
        <f t="shared" ref="N350" si="76">J350*L350</f>
        <v>1</v>
      </c>
      <c r="O350" s="40">
        <v>1</v>
      </c>
      <c r="P350" s="57">
        <f>N350+O350</f>
        <v>2</v>
      </c>
    </row>
    <row r="351" spans="3:16" ht="18.75" customHeight="1">
      <c r="C351" s="40" t="s">
        <v>1103</v>
      </c>
      <c r="D351" s="40"/>
      <c r="E351" s="40"/>
      <c r="F351" s="63" t="s">
        <v>695</v>
      </c>
      <c r="G351" s="40"/>
      <c r="H351" s="45"/>
      <c r="I351" s="63">
        <v>1</v>
      </c>
      <c r="J351" s="66">
        <v>1</v>
      </c>
      <c r="K351" s="40"/>
      <c r="L351" s="40">
        <f>VLOOKUP(F351,BM!$A$2:$X$57,8,FALSE)</f>
        <v>1</v>
      </c>
      <c r="M351" s="40"/>
      <c r="N351" s="49">
        <f t="shared" si="73"/>
        <v>1</v>
      </c>
      <c r="O351" s="40">
        <v>1</v>
      </c>
      <c r="P351" s="57">
        <f>N351+O351</f>
        <v>2</v>
      </c>
    </row>
    <row r="352" spans="3:16" ht="18.75" customHeight="1">
      <c r="J352" s="47"/>
      <c r="K352" s="47"/>
      <c r="L352" s="48"/>
      <c r="M352" s="48"/>
      <c r="N352" s="48"/>
      <c r="O352" s="48"/>
      <c r="P352" s="48"/>
    </row>
    <row r="353" spans="3:16" ht="18.75" customHeight="1">
      <c r="C353" s="37" t="s">
        <v>866</v>
      </c>
      <c r="D353" s="38" t="s">
        <v>867</v>
      </c>
      <c r="E353" s="38"/>
      <c r="F353" s="39" t="s">
        <v>2</v>
      </c>
      <c r="G353" s="39" t="s">
        <v>1099</v>
      </c>
      <c r="H353" s="39" t="s">
        <v>1100</v>
      </c>
      <c r="I353" s="39" t="s">
        <v>4</v>
      </c>
      <c r="J353" s="39" t="s">
        <v>870</v>
      </c>
      <c r="K353" s="39" t="s">
        <v>5</v>
      </c>
      <c r="L353" s="39" t="s">
        <v>871</v>
      </c>
      <c r="M353" s="39" t="s">
        <v>5</v>
      </c>
      <c r="N353" s="39" t="s">
        <v>870</v>
      </c>
      <c r="O353" s="39" t="s">
        <v>872</v>
      </c>
      <c r="P353" s="39" t="s">
        <v>873</v>
      </c>
    </row>
    <row r="354" spans="3:16" ht="18.75" customHeight="1">
      <c r="C354" s="40" t="s">
        <v>1104</v>
      </c>
      <c r="D354" s="40"/>
      <c r="E354" s="40"/>
      <c r="F354" s="63" t="s">
        <v>695</v>
      </c>
      <c r="G354" s="40"/>
      <c r="H354" s="45"/>
      <c r="I354" s="63">
        <v>1</v>
      </c>
      <c r="J354" s="66">
        <v>1</v>
      </c>
      <c r="K354" s="40"/>
      <c r="L354" s="40">
        <f>VLOOKUP(F354,BM!$A$2:$X$57,8,FALSE)</f>
        <v>1</v>
      </c>
      <c r="M354" s="40"/>
      <c r="N354" s="49">
        <f t="shared" ref="N354:N355" si="77">J354*L354</f>
        <v>1</v>
      </c>
      <c r="O354" s="40">
        <v>1</v>
      </c>
      <c r="P354" s="57">
        <f>N354+O354</f>
        <v>2</v>
      </c>
    </row>
    <row r="355" spans="3:16" ht="18.75" customHeight="1">
      <c r="C355" s="40" t="s">
        <v>1104</v>
      </c>
      <c r="D355" s="40"/>
      <c r="E355" s="40"/>
      <c r="F355" s="63" t="s">
        <v>695</v>
      </c>
      <c r="G355" s="40"/>
      <c r="H355" s="45"/>
      <c r="I355" s="63">
        <v>1</v>
      </c>
      <c r="J355" s="66">
        <v>1</v>
      </c>
      <c r="K355" s="40"/>
      <c r="L355" s="40">
        <f>VLOOKUP(F355,BM!$A$2:$X$57,8,FALSE)</f>
        <v>1</v>
      </c>
      <c r="M355" s="40"/>
      <c r="N355" s="49">
        <f t="shared" si="77"/>
        <v>1</v>
      </c>
      <c r="O355" s="40">
        <v>1</v>
      </c>
      <c r="P355" s="57">
        <f>N355+O355</f>
        <v>2</v>
      </c>
    </row>
    <row r="356" spans="3:16" ht="18.75" customHeight="1">
      <c r="J356" s="47"/>
      <c r="K356" s="47"/>
      <c r="L356" s="48"/>
      <c r="M356" s="48"/>
      <c r="N356" s="48"/>
      <c r="O356" s="48"/>
      <c r="P356" s="48"/>
    </row>
    <row r="357" spans="3:16" ht="18.75" customHeight="1">
      <c r="C357" s="37" t="s">
        <v>866</v>
      </c>
      <c r="D357" s="38" t="s">
        <v>867</v>
      </c>
      <c r="E357" s="38"/>
      <c r="F357" s="39" t="s">
        <v>2</v>
      </c>
      <c r="G357" s="39" t="s">
        <v>1099</v>
      </c>
      <c r="H357" s="39" t="s">
        <v>1100</v>
      </c>
      <c r="I357" s="39" t="s">
        <v>4</v>
      </c>
      <c r="J357" s="39" t="s">
        <v>870</v>
      </c>
      <c r="K357" s="39" t="s">
        <v>5</v>
      </c>
      <c r="L357" s="39" t="s">
        <v>871</v>
      </c>
      <c r="M357" s="39" t="s">
        <v>5</v>
      </c>
      <c r="N357" s="39" t="s">
        <v>870</v>
      </c>
      <c r="O357" s="39" t="s">
        <v>872</v>
      </c>
      <c r="P357" s="39" t="s">
        <v>873</v>
      </c>
    </row>
    <row r="358" spans="3:16" ht="18.75" customHeight="1">
      <c r="C358" s="40" t="s">
        <v>1105</v>
      </c>
      <c r="D358" s="40"/>
      <c r="E358" s="40"/>
      <c r="F358" s="63" t="s">
        <v>695</v>
      </c>
      <c r="G358" s="40"/>
      <c r="H358" s="45"/>
      <c r="I358" s="63">
        <v>1</v>
      </c>
      <c r="J358" s="66">
        <v>1</v>
      </c>
      <c r="K358" s="40"/>
      <c r="L358" s="40">
        <f>VLOOKUP(F358,BM!$A$2:$X$57,8,FALSE)</f>
        <v>1</v>
      </c>
      <c r="M358" s="40"/>
      <c r="N358" s="49">
        <f t="shared" ref="N358:N359" si="78">J358*L358</f>
        <v>1</v>
      </c>
      <c r="O358" s="40">
        <v>1</v>
      </c>
      <c r="P358" s="57">
        <f>N358+O358</f>
        <v>2</v>
      </c>
    </row>
    <row r="359" spans="3:16" ht="18.75" customHeight="1">
      <c r="C359" s="40" t="s">
        <v>1105</v>
      </c>
      <c r="D359" s="40"/>
      <c r="E359" s="40"/>
      <c r="F359" s="63" t="s">
        <v>695</v>
      </c>
      <c r="G359" s="40"/>
      <c r="H359" s="45"/>
      <c r="I359" s="63">
        <v>1</v>
      </c>
      <c r="J359" s="66">
        <v>1</v>
      </c>
      <c r="K359" s="40"/>
      <c r="L359" s="40">
        <f>VLOOKUP(F359,BM!$A$2:$X$57,8,FALSE)</f>
        <v>1</v>
      </c>
      <c r="M359" s="40"/>
      <c r="N359" s="49">
        <f t="shared" si="78"/>
        <v>1</v>
      </c>
      <c r="O359" s="40">
        <v>1</v>
      </c>
      <c r="P359" s="57">
        <f>N359+O359</f>
        <v>2</v>
      </c>
    </row>
    <row r="360" spans="3:16" ht="18.75" customHeight="1">
      <c r="J360" s="47"/>
      <c r="K360" s="47"/>
      <c r="L360" s="48"/>
      <c r="M360" s="48"/>
      <c r="N360" s="48"/>
      <c r="O360" s="48"/>
      <c r="P360" s="48"/>
    </row>
    <row r="361" spans="3:16" ht="18.75" customHeight="1">
      <c r="C361" s="37" t="s">
        <v>866</v>
      </c>
      <c r="D361" s="38" t="s">
        <v>867</v>
      </c>
      <c r="E361" s="38"/>
      <c r="F361" s="39" t="s">
        <v>1106</v>
      </c>
      <c r="G361" s="39" t="s">
        <v>1099</v>
      </c>
      <c r="H361" s="39" t="s">
        <v>1100</v>
      </c>
      <c r="I361" s="39" t="s">
        <v>4</v>
      </c>
      <c r="J361" s="39" t="s">
        <v>870</v>
      </c>
      <c r="K361" s="39" t="s">
        <v>5</v>
      </c>
      <c r="L361" s="39" t="s">
        <v>871</v>
      </c>
      <c r="M361" s="39" t="s">
        <v>5</v>
      </c>
      <c r="N361" s="39" t="s">
        <v>870</v>
      </c>
      <c r="O361" s="39" t="s">
        <v>872</v>
      </c>
      <c r="P361" s="39" t="s">
        <v>873</v>
      </c>
    </row>
    <row r="362" spans="3:16" ht="18.75" customHeight="1">
      <c r="C362" s="40" t="s">
        <v>828</v>
      </c>
      <c r="D362" s="40"/>
      <c r="E362" s="40"/>
      <c r="F362" s="40" t="s">
        <v>695</v>
      </c>
      <c r="G362" s="40"/>
      <c r="H362" s="45"/>
      <c r="I362" s="63">
        <v>1</v>
      </c>
      <c r="J362" s="66">
        <v>1</v>
      </c>
      <c r="K362" s="40" t="s">
        <v>564</v>
      </c>
      <c r="L362" s="40">
        <f>VLOOKUP(F362,BM!$A$2:$X$57,18,FALSE)</f>
        <v>2</v>
      </c>
      <c r="M362" s="40"/>
      <c r="N362" s="49">
        <f t="shared" si="73"/>
        <v>2</v>
      </c>
      <c r="O362" s="40">
        <v>1</v>
      </c>
      <c r="P362" s="57">
        <f>N362+O362</f>
        <v>3</v>
      </c>
    </row>
    <row r="363" spans="3:16" ht="18.75" customHeight="1">
      <c r="C363" s="40" t="s">
        <v>828</v>
      </c>
      <c r="D363" s="40"/>
      <c r="E363" s="40"/>
      <c r="F363" s="40" t="s">
        <v>695</v>
      </c>
      <c r="G363" s="40"/>
      <c r="H363" s="45"/>
      <c r="I363" s="63">
        <v>1</v>
      </c>
      <c r="J363" s="66">
        <v>1</v>
      </c>
      <c r="K363" s="40" t="s">
        <v>564</v>
      </c>
      <c r="L363" s="40">
        <f>VLOOKUP(F363,BM!$A$2:$X$57,18,FALSE)</f>
        <v>2</v>
      </c>
      <c r="M363" s="40"/>
      <c r="N363" s="49">
        <f t="shared" si="73"/>
        <v>2</v>
      </c>
      <c r="O363" s="40">
        <v>1</v>
      </c>
      <c r="P363" s="57">
        <f>N363+O363</f>
        <v>3</v>
      </c>
    </row>
    <row r="364" spans="3:16" ht="18.75" customHeight="1">
      <c r="J364" s="47"/>
      <c r="K364" s="47"/>
      <c r="L364" s="48"/>
      <c r="M364" s="48"/>
      <c r="N364" s="48"/>
      <c r="O364" s="48"/>
      <c r="P364" s="48"/>
    </row>
    <row r="365" spans="3:16" ht="18.75" customHeight="1">
      <c r="C365" s="37" t="s">
        <v>866</v>
      </c>
      <c r="D365" s="38" t="s">
        <v>867</v>
      </c>
      <c r="E365" s="38"/>
      <c r="F365" s="39" t="s">
        <v>2</v>
      </c>
      <c r="G365" s="39" t="s">
        <v>1099</v>
      </c>
      <c r="H365" s="39" t="s">
        <v>1100</v>
      </c>
      <c r="I365" s="39" t="s">
        <v>4</v>
      </c>
      <c r="J365" s="39" t="s">
        <v>870</v>
      </c>
      <c r="K365" s="39" t="s">
        <v>5</v>
      </c>
      <c r="L365" s="39" t="s">
        <v>871</v>
      </c>
      <c r="M365" s="39" t="s">
        <v>5</v>
      </c>
      <c r="N365" s="39" t="s">
        <v>870</v>
      </c>
      <c r="O365" s="39" t="s">
        <v>872</v>
      </c>
      <c r="P365" s="39" t="s">
        <v>873</v>
      </c>
    </row>
    <row r="366" spans="3:16" ht="18.75" customHeight="1">
      <c r="C366" s="40" t="s">
        <v>822</v>
      </c>
      <c r="D366" s="40"/>
      <c r="E366" s="40"/>
      <c r="F366" s="40" t="s">
        <v>695</v>
      </c>
      <c r="G366" s="40"/>
      <c r="H366" s="45"/>
      <c r="I366" s="63">
        <v>1</v>
      </c>
      <c r="J366" s="66">
        <v>1</v>
      </c>
      <c r="K366" s="40" t="s">
        <v>564</v>
      </c>
      <c r="L366" s="40">
        <f>VLOOKUP(F366,BM!$A$2:$X$57,12,FALSE)</f>
        <v>2</v>
      </c>
      <c r="M366" s="40"/>
      <c r="N366" s="49">
        <f t="shared" ref="N366:N367" si="79">J366*L366</f>
        <v>2</v>
      </c>
      <c r="O366" s="40">
        <v>1</v>
      </c>
      <c r="P366" s="57">
        <f>N366+O366</f>
        <v>3</v>
      </c>
    </row>
    <row r="367" spans="3:16" ht="18.75" customHeight="1">
      <c r="C367" s="40" t="s">
        <v>822</v>
      </c>
      <c r="D367" s="40"/>
      <c r="E367" s="40"/>
      <c r="F367" s="40" t="s">
        <v>695</v>
      </c>
      <c r="G367" s="40"/>
      <c r="H367" s="45"/>
      <c r="I367" s="63">
        <v>1</v>
      </c>
      <c r="J367" s="66">
        <v>1</v>
      </c>
      <c r="K367" s="40" t="s">
        <v>564</v>
      </c>
      <c r="L367" s="40">
        <f>VLOOKUP(F367,BM!$A$2:$X$57,12,FALSE)</f>
        <v>2</v>
      </c>
      <c r="M367" s="40"/>
      <c r="N367" s="49">
        <f t="shared" si="79"/>
        <v>2</v>
      </c>
      <c r="O367" s="40">
        <v>1</v>
      </c>
      <c r="P367" s="57">
        <f>N367+O367</f>
        <v>3</v>
      </c>
    </row>
    <row r="368" spans="3:16" ht="18.75" customHeight="1">
      <c r="J368" s="47"/>
      <c r="K368" s="47"/>
      <c r="L368" s="48"/>
      <c r="M368" s="48"/>
      <c r="N368" s="48"/>
      <c r="O368" s="48"/>
      <c r="P368" s="48"/>
    </row>
    <row r="369" spans="3:16" ht="18.75" customHeight="1">
      <c r="C369" s="37" t="s">
        <v>866</v>
      </c>
      <c r="D369" s="38" t="s">
        <v>867</v>
      </c>
      <c r="E369" s="38"/>
      <c r="F369" s="39" t="s">
        <v>2</v>
      </c>
      <c r="G369" s="39" t="s">
        <v>1099</v>
      </c>
      <c r="H369" s="39" t="s">
        <v>1100</v>
      </c>
      <c r="I369" s="39" t="s">
        <v>4</v>
      </c>
      <c r="J369" s="39" t="s">
        <v>870</v>
      </c>
      <c r="K369" s="39" t="s">
        <v>5</v>
      </c>
      <c r="L369" s="39" t="s">
        <v>871</v>
      </c>
      <c r="M369" s="39" t="s">
        <v>5</v>
      </c>
      <c r="N369" s="39" t="s">
        <v>870</v>
      </c>
      <c r="O369" s="39" t="s">
        <v>872</v>
      </c>
      <c r="P369" s="39" t="s">
        <v>873</v>
      </c>
    </row>
    <row r="370" spans="3:16" ht="18.75" customHeight="1">
      <c r="C370" s="40" t="s">
        <v>1107</v>
      </c>
      <c r="D370" s="40"/>
      <c r="E370" s="40"/>
      <c r="F370" s="40" t="s">
        <v>695</v>
      </c>
      <c r="G370" s="40"/>
      <c r="H370" s="45"/>
      <c r="I370" s="63">
        <v>1</v>
      </c>
      <c r="J370" s="66">
        <v>1</v>
      </c>
      <c r="K370" s="40" t="s">
        <v>564</v>
      </c>
      <c r="L370" s="40">
        <f>VLOOKUP(F370,BM!$A$2:$X$57,13,FALSE)</f>
        <v>2</v>
      </c>
      <c r="M370" s="40"/>
      <c r="N370" s="49">
        <f t="shared" ref="N370:N371" si="80">J370*L370</f>
        <v>2</v>
      </c>
      <c r="O370" s="40">
        <v>1</v>
      </c>
      <c r="P370" s="57">
        <f>N370+O370</f>
        <v>3</v>
      </c>
    </row>
    <row r="371" spans="3:16" ht="18.75" customHeight="1">
      <c r="C371" s="40" t="s">
        <v>1107</v>
      </c>
      <c r="D371" s="40"/>
      <c r="E371" s="40"/>
      <c r="F371" s="40" t="s">
        <v>695</v>
      </c>
      <c r="G371" s="40"/>
      <c r="H371" s="45"/>
      <c r="I371" s="63">
        <v>1</v>
      </c>
      <c r="J371" s="66">
        <v>1</v>
      </c>
      <c r="K371" s="40" t="s">
        <v>564</v>
      </c>
      <c r="L371" s="40">
        <f>VLOOKUP(F371,BM!$A$2:$X$57,13,FALSE)</f>
        <v>2</v>
      </c>
      <c r="M371" s="40"/>
      <c r="N371" s="49">
        <f t="shared" si="80"/>
        <v>2</v>
      </c>
      <c r="O371" s="40">
        <v>1</v>
      </c>
      <c r="P371" s="57">
        <f>N371+O371</f>
        <v>3</v>
      </c>
    </row>
    <row r="372" spans="3:16" ht="18.75" customHeight="1">
      <c r="J372" s="47"/>
      <c r="K372" s="47"/>
      <c r="L372" s="48"/>
      <c r="M372" s="48"/>
      <c r="N372" s="48"/>
      <c r="O372" s="48"/>
      <c r="P372" s="48"/>
    </row>
    <row r="373" spans="3:16" ht="18.75" customHeight="1">
      <c r="C373" s="37" t="s">
        <v>866</v>
      </c>
      <c r="D373" s="38" t="s">
        <v>867</v>
      </c>
      <c r="E373" s="38"/>
      <c r="F373" s="39" t="s">
        <v>2</v>
      </c>
      <c r="G373" s="39" t="s">
        <v>1099</v>
      </c>
      <c r="H373" s="39" t="s">
        <v>1100</v>
      </c>
      <c r="I373" s="39" t="s">
        <v>4</v>
      </c>
      <c r="J373" s="39" t="s">
        <v>870</v>
      </c>
      <c r="K373" s="39" t="s">
        <v>5</v>
      </c>
      <c r="L373" s="39" t="s">
        <v>871</v>
      </c>
      <c r="M373" s="39" t="s">
        <v>5</v>
      </c>
      <c r="N373" s="39" t="s">
        <v>870</v>
      </c>
      <c r="O373" s="39" t="s">
        <v>872</v>
      </c>
      <c r="P373" s="39" t="s">
        <v>873</v>
      </c>
    </row>
    <row r="374" spans="3:16" ht="18.75" customHeight="1">
      <c r="C374" s="40" t="s">
        <v>824</v>
      </c>
      <c r="D374" s="40"/>
      <c r="E374" s="40"/>
      <c r="F374" s="40" t="s">
        <v>695</v>
      </c>
      <c r="G374" s="40"/>
      <c r="H374" s="45"/>
      <c r="I374" s="63">
        <v>1</v>
      </c>
      <c r="J374" s="66">
        <v>1</v>
      </c>
      <c r="K374" s="40" t="s">
        <v>564</v>
      </c>
      <c r="L374" s="40">
        <f>VLOOKUP(F374,BM!$A$2:$X$57,14,FALSE)</f>
        <v>3</v>
      </c>
      <c r="M374" s="40"/>
      <c r="N374" s="49">
        <f t="shared" ref="N374:N375" si="81">J374*L374</f>
        <v>3</v>
      </c>
      <c r="O374" s="40">
        <v>1</v>
      </c>
      <c r="P374" s="57">
        <f>N374+O374</f>
        <v>4</v>
      </c>
    </row>
    <row r="375" spans="3:16" ht="18.75" customHeight="1">
      <c r="C375" s="40" t="s">
        <v>824</v>
      </c>
      <c r="D375" s="40"/>
      <c r="E375" s="40"/>
      <c r="F375" s="40" t="s">
        <v>695</v>
      </c>
      <c r="G375" s="40"/>
      <c r="H375" s="45"/>
      <c r="I375" s="63">
        <v>1</v>
      </c>
      <c r="J375" s="66">
        <v>1</v>
      </c>
      <c r="K375" s="40" t="s">
        <v>564</v>
      </c>
      <c r="L375" s="40">
        <f>VLOOKUP(F374,BM!$A$2:$X$57,14,FALSE)</f>
        <v>3</v>
      </c>
      <c r="M375" s="40"/>
      <c r="N375" s="49">
        <f t="shared" si="81"/>
        <v>3</v>
      </c>
      <c r="O375" s="40">
        <v>1</v>
      </c>
      <c r="P375" s="57">
        <f>N375+O375</f>
        <v>4</v>
      </c>
    </row>
    <row r="376" spans="3:16" ht="18.75" customHeight="1">
      <c r="J376" s="47"/>
      <c r="K376" s="47"/>
      <c r="L376" s="48"/>
      <c r="M376" s="48"/>
      <c r="N376" s="48"/>
      <c r="O376" s="48"/>
      <c r="P376" s="48"/>
    </row>
    <row r="377" spans="3:16" ht="18.75" customHeight="1">
      <c r="C377" s="37" t="s">
        <v>866</v>
      </c>
      <c r="D377" s="38" t="s">
        <v>867</v>
      </c>
      <c r="E377" s="38"/>
      <c r="F377" s="39" t="s">
        <v>2</v>
      </c>
      <c r="G377" s="39" t="s">
        <v>1108</v>
      </c>
      <c r="H377" s="39" t="s">
        <v>1109</v>
      </c>
      <c r="I377" s="39" t="s">
        <v>4</v>
      </c>
      <c r="J377" s="39" t="s">
        <v>870</v>
      </c>
      <c r="K377" s="39" t="s">
        <v>5</v>
      </c>
      <c r="L377" s="39" t="s">
        <v>871</v>
      </c>
      <c r="M377" s="39" t="s">
        <v>5</v>
      </c>
      <c r="N377" s="39" t="s">
        <v>870</v>
      </c>
      <c r="O377" s="39" t="s">
        <v>872</v>
      </c>
      <c r="P377" s="39" t="s">
        <v>873</v>
      </c>
    </row>
    <row r="378" spans="3:16" ht="18.75" customHeight="1">
      <c r="C378" s="40" t="s">
        <v>1110</v>
      </c>
      <c r="D378" s="40" t="s">
        <v>875</v>
      </c>
      <c r="E378" s="40"/>
      <c r="F378" s="40">
        <v>25</v>
      </c>
      <c r="G378" s="40">
        <v>320</v>
      </c>
      <c r="H378" s="45">
        <v>1736</v>
      </c>
      <c r="I378" s="40">
        <v>0</v>
      </c>
      <c r="J378" s="46">
        <f t="shared" ref="J378:J383" si="82">(G378*2*0.001+H378*2*0.001)*I378</f>
        <v>0</v>
      </c>
      <c r="K378" s="40"/>
      <c r="L378" s="40">
        <f>VLOOKUP(F378,BM!$A$2:$X$57,2,FALSE)</f>
        <v>0.1</v>
      </c>
      <c r="M378" s="40"/>
      <c r="N378" s="49">
        <f t="shared" ref="N378:N391" si="83">J378*L378</f>
        <v>0</v>
      </c>
      <c r="O378" s="40">
        <v>1</v>
      </c>
      <c r="P378" s="57">
        <f t="shared" ref="P378:P383" si="84">N378+O378</f>
        <v>1</v>
      </c>
    </row>
    <row r="379" spans="3:16" ht="18.75" customHeight="1">
      <c r="C379" s="40" t="s">
        <v>1111</v>
      </c>
      <c r="D379" s="40" t="s">
        <v>875</v>
      </c>
      <c r="E379" s="40"/>
      <c r="F379" s="40">
        <v>25</v>
      </c>
      <c r="G379" s="40">
        <v>320</v>
      </c>
      <c r="H379" s="45">
        <v>4904</v>
      </c>
      <c r="I379" s="40">
        <v>2</v>
      </c>
      <c r="J379" s="46">
        <f t="shared" si="82"/>
        <v>20.896000000000001</v>
      </c>
      <c r="K379" s="40"/>
      <c r="L379" s="40">
        <f>VLOOKUP(F379,BM!$A$2:$X$57,2,FALSE)</f>
        <v>0.1</v>
      </c>
      <c r="M379" s="40"/>
      <c r="N379" s="49">
        <f t="shared" si="83"/>
        <v>2.0896000000000003</v>
      </c>
      <c r="O379" s="40">
        <v>1</v>
      </c>
      <c r="P379" s="57">
        <f t="shared" si="84"/>
        <v>3.0896000000000003</v>
      </c>
    </row>
    <row r="380" spans="3:16" ht="18.75" customHeight="1">
      <c r="C380" s="40" t="s">
        <v>1112</v>
      </c>
      <c r="D380" s="40" t="s">
        <v>875</v>
      </c>
      <c r="E380" s="40"/>
      <c r="F380" s="40">
        <v>30</v>
      </c>
      <c r="G380" s="40">
        <v>320</v>
      </c>
      <c r="H380" s="45">
        <v>1890</v>
      </c>
      <c r="I380" s="40">
        <v>0</v>
      </c>
      <c r="J380" s="46">
        <f t="shared" si="82"/>
        <v>0</v>
      </c>
      <c r="K380" s="40"/>
      <c r="L380" s="40">
        <f>VLOOKUP(F380,BM!$A$2:$X$57,2,FALSE)</f>
        <v>0.1</v>
      </c>
      <c r="M380" s="40"/>
      <c r="N380" s="49">
        <f t="shared" si="83"/>
        <v>0</v>
      </c>
      <c r="O380" s="40">
        <v>1</v>
      </c>
      <c r="P380" s="57">
        <f t="shared" si="84"/>
        <v>1</v>
      </c>
    </row>
    <row r="381" spans="3:16" ht="18.75" customHeight="1">
      <c r="C381" s="40" t="s">
        <v>1113</v>
      </c>
      <c r="D381" s="40" t="s">
        <v>875</v>
      </c>
      <c r="E381" s="40"/>
      <c r="F381" s="40">
        <v>30</v>
      </c>
      <c r="G381" s="40">
        <v>320</v>
      </c>
      <c r="H381" s="45">
        <v>1890</v>
      </c>
      <c r="I381" s="40">
        <v>4</v>
      </c>
      <c r="J381" s="46">
        <f t="shared" si="82"/>
        <v>17.68</v>
      </c>
      <c r="K381" s="40"/>
      <c r="L381" s="40">
        <f>VLOOKUP(F381,BM!$A$2:$X$57,2,FALSE)</f>
        <v>0.1</v>
      </c>
      <c r="M381" s="40"/>
      <c r="N381" s="49">
        <f t="shared" si="83"/>
        <v>1.768</v>
      </c>
      <c r="O381" s="40">
        <v>1</v>
      </c>
      <c r="P381" s="57">
        <f t="shared" si="84"/>
        <v>2.7679999999999998</v>
      </c>
    </row>
    <row r="382" spans="3:16" ht="18.75" customHeight="1">
      <c r="C382" s="40" t="s">
        <v>1114</v>
      </c>
      <c r="D382" s="40" t="s">
        <v>875</v>
      </c>
      <c r="E382" s="40"/>
      <c r="F382" s="40">
        <v>25</v>
      </c>
      <c r="G382" s="40">
        <v>2336</v>
      </c>
      <c r="H382" s="45">
        <v>1890</v>
      </c>
      <c r="I382" s="40">
        <v>0</v>
      </c>
      <c r="J382" s="46">
        <f t="shared" si="82"/>
        <v>0</v>
      </c>
      <c r="K382" s="40"/>
      <c r="L382" s="40">
        <f>VLOOKUP(F382,BM!$A$2:$X$57,2,FALSE)</f>
        <v>0.1</v>
      </c>
      <c r="M382" s="40"/>
      <c r="N382" s="49">
        <f t="shared" si="83"/>
        <v>0</v>
      </c>
      <c r="O382" s="40">
        <v>1</v>
      </c>
      <c r="P382" s="57">
        <f t="shared" si="84"/>
        <v>1</v>
      </c>
    </row>
    <row r="383" spans="3:16" ht="18.75" customHeight="1">
      <c r="C383" s="40" t="s">
        <v>1115</v>
      </c>
      <c r="D383" s="40" t="s">
        <v>875</v>
      </c>
      <c r="E383" s="40"/>
      <c r="F383" s="40">
        <v>30</v>
      </c>
      <c r="G383" s="40">
        <v>135</v>
      </c>
      <c r="H383" s="45">
        <v>400</v>
      </c>
      <c r="I383" s="40">
        <v>16</v>
      </c>
      <c r="J383" s="46">
        <f t="shared" si="82"/>
        <v>17.12</v>
      </c>
      <c r="K383" s="40"/>
      <c r="L383" s="40">
        <f>VLOOKUP(F383,BM!$A$2:$X$57,2,FALSE)</f>
        <v>0.1</v>
      </c>
      <c r="M383" s="40"/>
      <c r="N383" s="49">
        <f t="shared" si="83"/>
        <v>1.7120000000000002</v>
      </c>
      <c r="O383" s="40">
        <v>1</v>
      </c>
      <c r="P383" s="57">
        <f t="shared" si="84"/>
        <v>2.7120000000000002</v>
      </c>
    </row>
    <row r="384" spans="3:16" ht="18.75" customHeight="1">
      <c r="E384" s="35"/>
      <c r="F384" s="35"/>
      <c r="G384" s="35"/>
      <c r="H384" s="47"/>
      <c r="I384" s="35"/>
      <c r="J384" s="48"/>
      <c r="K384" s="35"/>
      <c r="L384" s="35"/>
      <c r="M384" s="35"/>
      <c r="N384" s="54"/>
      <c r="O384" s="35"/>
      <c r="P384" s="67">
        <f>SUM(P378:P383)</f>
        <v>11.569600000000001</v>
      </c>
    </row>
    <row r="385" spans="3:16" ht="18.75" customHeight="1">
      <c r="C385" s="37" t="s">
        <v>866</v>
      </c>
      <c r="D385" s="38" t="s">
        <v>867</v>
      </c>
      <c r="E385" s="38"/>
      <c r="F385" s="39" t="s">
        <v>2</v>
      </c>
      <c r="G385" s="39" t="s">
        <v>1099</v>
      </c>
      <c r="H385" s="39" t="s">
        <v>1100</v>
      </c>
      <c r="I385" s="39" t="s">
        <v>4</v>
      </c>
      <c r="J385" s="39" t="s">
        <v>870</v>
      </c>
      <c r="K385" s="39" t="s">
        <v>5</v>
      </c>
      <c r="L385" s="39" t="s">
        <v>871</v>
      </c>
      <c r="M385" s="39" t="s">
        <v>5</v>
      </c>
      <c r="N385" s="39" t="s">
        <v>870</v>
      </c>
      <c r="O385" s="39" t="s">
        <v>872</v>
      </c>
      <c r="P385" s="39" t="s">
        <v>873</v>
      </c>
    </row>
    <row r="386" spans="3:16" ht="18.75" customHeight="1">
      <c r="C386" s="40" t="s">
        <v>1116</v>
      </c>
      <c r="D386" s="40" t="s">
        <v>875</v>
      </c>
      <c r="E386" s="40"/>
      <c r="F386" s="40">
        <v>25</v>
      </c>
      <c r="G386" s="40">
        <v>320</v>
      </c>
      <c r="H386" s="45">
        <v>1736</v>
      </c>
      <c r="I386" s="40">
        <v>0</v>
      </c>
      <c r="J386" s="46">
        <f t="shared" ref="J386:J391" si="85">(G386*2*0.001+H386*2*0.001)*I386</f>
        <v>0</v>
      </c>
      <c r="K386" s="40"/>
      <c r="L386" s="40">
        <f>VLOOKUP(F386,BM!$A$2:$X$57,3,FALSE)</f>
        <v>0.25</v>
      </c>
      <c r="M386" s="40"/>
      <c r="N386" s="49">
        <f t="shared" si="83"/>
        <v>0</v>
      </c>
      <c r="O386" s="40">
        <v>1</v>
      </c>
      <c r="P386" s="57">
        <f t="shared" ref="P386:P391" si="86">N386+O386</f>
        <v>1</v>
      </c>
    </row>
    <row r="387" spans="3:16" ht="18.75" customHeight="1">
      <c r="C387" s="40" t="s">
        <v>1117</v>
      </c>
      <c r="D387" s="40" t="s">
        <v>875</v>
      </c>
      <c r="E387" s="40"/>
      <c r="F387" s="40">
        <v>25</v>
      </c>
      <c r="G387" s="40">
        <v>320</v>
      </c>
      <c r="H387" s="45">
        <v>4904</v>
      </c>
      <c r="I387" s="40">
        <v>2</v>
      </c>
      <c r="J387" s="46">
        <f t="shared" si="85"/>
        <v>20.896000000000001</v>
      </c>
      <c r="K387" s="40"/>
      <c r="L387" s="40">
        <f>VLOOKUP(F387,BM!$A$2:$X$57,3,FALSE)</f>
        <v>0.25</v>
      </c>
      <c r="M387" s="40"/>
      <c r="N387" s="49">
        <f t="shared" si="83"/>
        <v>5.2240000000000002</v>
      </c>
      <c r="O387" s="40">
        <v>1</v>
      </c>
      <c r="P387" s="57">
        <f t="shared" si="86"/>
        <v>6.2240000000000002</v>
      </c>
    </row>
    <row r="388" spans="3:16" ht="18.75" customHeight="1">
      <c r="C388" s="40" t="s">
        <v>1118</v>
      </c>
      <c r="D388" s="40" t="s">
        <v>875</v>
      </c>
      <c r="E388" s="40"/>
      <c r="F388" s="40">
        <v>30</v>
      </c>
      <c r="G388" s="40">
        <v>320</v>
      </c>
      <c r="H388" s="45">
        <v>1890</v>
      </c>
      <c r="I388" s="40">
        <v>0</v>
      </c>
      <c r="J388" s="46">
        <f t="shared" si="85"/>
        <v>0</v>
      </c>
      <c r="K388" s="40"/>
      <c r="L388" s="40">
        <f>VLOOKUP(F388,BM!$A$2:$X$57,3,FALSE)</f>
        <v>0.25</v>
      </c>
      <c r="M388" s="40"/>
      <c r="N388" s="49">
        <f t="shared" si="83"/>
        <v>0</v>
      </c>
      <c r="O388" s="40">
        <v>1</v>
      </c>
      <c r="P388" s="57">
        <f t="shared" si="86"/>
        <v>1</v>
      </c>
    </row>
    <row r="389" spans="3:16" ht="18.75" customHeight="1">
      <c r="C389" s="40" t="s">
        <v>1119</v>
      </c>
      <c r="D389" s="40" t="s">
        <v>875</v>
      </c>
      <c r="E389" s="40"/>
      <c r="F389" s="40">
        <v>30</v>
      </c>
      <c r="G389" s="40">
        <v>320</v>
      </c>
      <c r="H389" s="45">
        <v>1890</v>
      </c>
      <c r="I389" s="40">
        <v>4</v>
      </c>
      <c r="J389" s="46">
        <f t="shared" si="85"/>
        <v>17.68</v>
      </c>
      <c r="K389" s="40"/>
      <c r="L389" s="40">
        <f>VLOOKUP(F389,BM!$A$2:$X$57,3,FALSE)</f>
        <v>0.25</v>
      </c>
      <c r="M389" s="40"/>
      <c r="N389" s="49">
        <f t="shared" si="83"/>
        <v>4.42</v>
      </c>
      <c r="O389" s="40">
        <v>1</v>
      </c>
      <c r="P389" s="57">
        <f t="shared" si="86"/>
        <v>5.42</v>
      </c>
    </row>
    <row r="390" spans="3:16" ht="18.75" customHeight="1">
      <c r="C390" s="40" t="s">
        <v>1120</v>
      </c>
      <c r="D390" s="40" t="s">
        <v>875</v>
      </c>
      <c r="E390" s="40"/>
      <c r="F390" s="40">
        <v>25</v>
      </c>
      <c r="G390" s="40">
        <v>2336</v>
      </c>
      <c r="H390" s="45">
        <v>1890</v>
      </c>
      <c r="I390" s="40">
        <v>0</v>
      </c>
      <c r="J390" s="46">
        <f t="shared" si="85"/>
        <v>0</v>
      </c>
      <c r="K390" s="40"/>
      <c r="L390" s="40">
        <f>VLOOKUP(F390,BM!$A$2:$X$57,3,FALSE)</f>
        <v>0.25</v>
      </c>
      <c r="M390" s="40"/>
      <c r="N390" s="49">
        <f t="shared" si="83"/>
        <v>0</v>
      </c>
      <c r="O390" s="40">
        <v>1</v>
      </c>
      <c r="P390" s="57">
        <f t="shared" si="86"/>
        <v>1</v>
      </c>
    </row>
    <row r="391" spans="3:16" ht="18.75" customHeight="1">
      <c r="C391" s="40" t="s">
        <v>1121</v>
      </c>
      <c r="D391" s="40" t="s">
        <v>875</v>
      </c>
      <c r="E391" s="40"/>
      <c r="F391" s="40">
        <v>30</v>
      </c>
      <c r="G391" s="40">
        <v>135</v>
      </c>
      <c r="H391" s="45">
        <v>400</v>
      </c>
      <c r="I391" s="40">
        <v>16</v>
      </c>
      <c r="J391" s="46">
        <f t="shared" si="85"/>
        <v>17.12</v>
      </c>
      <c r="K391" s="40"/>
      <c r="L391" s="40">
        <f>VLOOKUP(F391,BM!$A$2:$X$57,3,FALSE)</f>
        <v>0.25</v>
      </c>
      <c r="M391" s="40"/>
      <c r="N391" s="49">
        <f t="shared" si="83"/>
        <v>4.28</v>
      </c>
      <c r="O391" s="40">
        <v>1</v>
      </c>
      <c r="P391" s="57">
        <f t="shared" si="86"/>
        <v>5.28</v>
      </c>
    </row>
    <row r="392" spans="3:16" ht="18.75" customHeight="1">
      <c r="E392" s="35"/>
      <c r="F392" s="35"/>
      <c r="G392" s="35"/>
      <c r="H392" s="47"/>
      <c r="I392" s="35"/>
      <c r="J392" s="48"/>
      <c r="K392" s="35"/>
      <c r="L392" s="35"/>
      <c r="M392" s="35"/>
      <c r="N392" s="54"/>
      <c r="O392" s="35"/>
      <c r="P392" s="67">
        <f>SUM(P386:P391)</f>
        <v>19.923999999999999</v>
      </c>
    </row>
    <row r="393" spans="3:16" ht="18.75" customHeight="1">
      <c r="C393" s="37" t="s">
        <v>866</v>
      </c>
      <c r="D393" s="38" t="s">
        <v>867</v>
      </c>
      <c r="E393" s="38"/>
      <c r="F393" s="39" t="s">
        <v>2</v>
      </c>
      <c r="G393" s="39" t="s">
        <v>1099</v>
      </c>
      <c r="H393" s="39" t="s">
        <v>1100</v>
      </c>
      <c r="I393" s="39" t="s">
        <v>4</v>
      </c>
      <c r="J393" s="39" t="s">
        <v>870</v>
      </c>
      <c r="K393" s="39" t="s">
        <v>5</v>
      </c>
      <c r="L393" s="39" t="s">
        <v>871</v>
      </c>
      <c r="M393" s="39" t="s">
        <v>5</v>
      </c>
      <c r="N393" s="39" t="s">
        <v>870</v>
      </c>
      <c r="O393" s="39" t="s">
        <v>872</v>
      </c>
      <c r="P393" s="39" t="s">
        <v>873</v>
      </c>
    </row>
    <row r="394" spans="3:16" ht="18.75" customHeight="1">
      <c r="C394" s="40" t="s">
        <v>1116</v>
      </c>
      <c r="D394" s="40" t="s">
        <v>875</v>
      </c>
      <c r="E394" s="40"/>
      <c r="F394" s="40">
        <v>25</v>
      </c>
      <c r="G394" s="40">
        <v>320</v>
      </c>
      <c r="H394" s="45">
        <v>1736</v>
      </c>
      <c r="I394" s="40">
        <v>0</v>
      </c>
      <c r="J394" s="46">
        <f t="shared" ref="J394:J399" si="87">(G394*2*0.001+H394*2*0.001)*I394</f>
        <v>0</v>
      </c>
      <c r="K394" s="40"/>
      <c r="L394" s="40">
        <f>VLOOKUP(F394,BM!$A$2:$X$57,4,FALSE)</f>
        <v>0.15</v>
      </c>
      <c r="M394" s="40"/>
      <c r="N394" s="49">
        <f t="shared" ref="N394:N399" si="88">J394*L394</f>
        <v>0</v>
      </c>
      <c r="O394" s="40">
        <v>1</v>
      </c>
      <c r="P394" s="57">
        <f t="shared" ref="P394:P399" si="89">N394+O394</f>
        <v>1</v>
      </c>
    </row>
    <row r="395" spans="3:16" ht="18.75" customHeight="1">
      <c r="C395" s="40" t="s">
        <v>1117</v>
      </c>
      <c r="D395" s="40" t="s">
        <v>875</v>
      </c>
      <c r="E395" s="40"/>
      <c r="F395" s="40">
        <v>25</v>
      </c>
      <c r="G395" s="40">
        <v>320</v>
      </c>
      <c r="H395" s="45">
        <v>4904</v>
      </c>
      <c r="I395" s="40">
        <v>2</v>
      </c>
      <c r="J395" s="46">
        <f t="shared" si="87"/>
        <v>20.896000000000001</v>
      </c>
      <c r="K395" s="40"/>
      <c r="L395" s="40">
        <f>VLOOKUP(F395,BM!$A$2:$X$57,4,FALSE)</f>
        <v>0.15</v>
      </c>
      <c r="M395" s="40"/>
      <c r="N395" s="49">
        <f t="shared" si="88"/>
        <v>3.1343999999999999</v>
      </c>
      <c r="O395" s="40">
        <v>1</v>
      </c>
      <c r="P395" s="57">
        <f t="shared" si="89"/>
        <v>4.1343999999999994</v>
      </c>
    </row>
    <row r="396" spans="3:16" ht="18.75" customHeight="1">
      <c r="C396" s="40" t="s">
        <v>1118</v>
      </c>
      <c r="D396" s="40" t="s">
        <v>875</v>
      </c>
      <c r="E396" s="40"/>
      <c r="F396" s="40">
        <v>30</v>
      </c>
      <c r="G396" s="40">
        <v>320</v>
      </c>
      <c r="H396" s="45">
        <v>1890</v>
      </c>
      <c r="I396" s="40">
        <v>0</v>
      </c>
      <c r="J396" s="46">
        <f t="shared" si="87"/>
        <v>0</v>
      </c>
      <c r="K396" s="40"/>
      <c r="L396" s="40">
        <f>VLOOKUP(F396,BM!$A$2:$X$57,4,FALSE)</f>
        <v>0.15</v>
      </c>
      <c r="M396" s="40"/>
      <c r="N396" s="49">
        <f t="shared" si="88"/>
        <v>0</v>
      </c>
      <c r="O396" s="40">
        <v>1</v>
      </c>
      <c r="P396" s="57">
        <f t="shared" si="89"/>
        <v>1</v>
      </c>
    </row>
    <row r="397" spans="3:16" ht="18.75" customHeight="1">
      <c r="C397" s="40" t="s">
        <v>1119</v>
      </c>
      <c r="D397" s="40" t="s">
        <v>875</v>
      </c>
      <c r="E397" s="40"/>
      <c r="F397" s="40">
        <v>30</v>
      </c>
      <c r="G397" s="40">
        <v>320</v>
      </c>
      <c r="H397" s="45">
        <v>1890</v>
      </c>
      <c r="I397" s="40">
        <v>4</v>
      </c>
      <c r="J397" s="46">
        <f t="shared" si="87"/>
        <v>17.68</v>
      </c>
      <c r="K397" s="40"/>
      <c r="L397" s="40">
        <f>VLOOKUP(F397,BM!$A$2:$X$57,4,FALSE)</f>
        <v>0.15</v>
      </c>
      <c r="M397" s="40"/>
      <c r="N397" s="49">
        <f t="shared" si="88"/>
        <v>2.6519999999999997</v>
      </c>
      <c r="O397" s="40">
        <v>1</v>
      </c>
      <c r="P397" s="57">
        <f t="shared" si="89"/>
        <v>3.6519999999999997</v>
      </c>
    </row>
    <row r="398" spans="3:16" ht="18.75" customHeight="1">
      <c r="C398" s="40" t="s">
        <v>1120</v>
      </c>
      <c r="D398" s="40" t="s">
        <v>875</v>
      </c>
      <c r="E398" s="40"/>
      <c r="F398" s="40">
        <v>25</v>
      </c>
      <c r="G398" s="40">
        <v>2336</v>
      </c>
      <c r="H398" s="45">
        <v>1890</v>
      </c>
      <c r="I398" s="40">
        <v>0</v>
      </c>
      <c r="J398" s="46">
        <f t="shared" si="87"/>
        <v>0</v>
      </c>
      <c r="K398" s="40"/>
      <c r="L398" s="40">
        <f>VLOOKUP(F398,BM!$A$2:$X$57,4,FALSE)</f>
        <v>0.15</v>
      </c>
      <c r="M398" s="40"/>
      <c r="N398" s="49">
        <f t="shared" si="88"/>
        <v>0</v>
      </c>
      <c r="O398" s="40">
        <v>1</v>
      </c>
      <c r="P398" s="57">
        <f t="shared" si="89"/>
        <v>1</v>
      </c>
    </row>
    <row r="399" spans="3:16" ht="18.75" customHeight="1">
      <c r="C399" s="40" t="s">
        <v>1121</v>
      </c>
      <c r="D399" s="40" t="s">
        <v>875</v>
      </c>
      <c r="E399" s="40"/>
      <c r="F399" s="40">
        <v>30</v>
      </c>
      <c r="G399" s="40">
        <v>135</v>
      </c>
      <c r="H399" s="45">
        <v>400</v>
      </c>
      <c r="I399" s="40">
        <v>16</v>
      </c>
      <c r="J399" s="46">
        <f t="shared" si="87"/>
        <v>17.12</v>
      </c>
      <c r="K399" s="40"/>
      <c r="L399" s="40">
        <f>VLOOKUP(F399,BM!$A$2:$X$57,4,FALSE)</f>
        <v>0.15</v>
      </c>
      <c r="M399" s="40"/>
      <c r="N399" s="49">
        <f t="shared" si="88"/>
        <v>2.5680000000000001</v>
      </c>
      <c r="O399" s="40">
        <v>1</v>
      </c>
      <c r="P399" s="57">
        <f t="shared" si="89"/>
        <v>3.5680000000000001</v>
      </c>
    </row>
    <row r="400" spans="3:16" ht="18.75" customHeight="1">
      <c r="P400" s="72">
        <f>SUM(P394:P399)</f>
        <v>14.354399999999998</v>
      </c>
    </row>
    <row r="401" spans="3:16" ht="18.75" customHeight="1">
      <c r="C401" s="37" t="s">
        <v>866</v>
      </c>
      <c r="D401" s="38" t="s">
        <v>867</v>
      </c>
      <c r="E401" s="38"/>
      <c r="F401" s="39" t="s">
        <v>2</v>
      </c>
      <c r="G401" s="39"/>
      <c r="H401" s="39"/>
      <c r="I401" s="39" t="s">
        <v>4</v>
      </c>
      <c r="J401" s="39" t="s">
        <v>870</v>
      </c>
      <c r="K401" s="39" t="s">
        <v>5</v>
      </c>
      <c r="L401" s="39" t="s">
        <v>871</v>
      </c>
      <c r="M401" s="39" t="s">
        <v>5</v>
      </c>
      <c r="N401" s="39" t="s">
        <v>870</v>
      </c>
      <c r="O401" s="39" t="s">
        <v>872</v>
      </c>
      <c r="P401" s="39" t="s">
        <v>873</v>
      </c>
    </row>
    <row r="402" spans="3:16" ht="18.75" customHeight="1">
      <c r="C402" s="40" t="s">
        <v>1122</v>
      </c>
      <c r="D402" s="40" t="s">
        <v>875</v>
      </c>
      <c r="E402" s="40"/>
      <c r="F402" s="40">
        <v>25</v>
      </c>
      <c r="G402" s="40"/>
      <c r="H402" s="45"/>
      <c r="I402" s="40">
        <v>2</v>
      </c>
      <c r="J402" s="46">
        <v>2</v>
      </c>
      <c r="K402" s="40" t="s">
        <v>81</v>
      </c>
      <c r="L402" s="40">
        <v>12</v>
      </c>
      <c r="M402" s="40"/>
      <c r="N402" s="49">
        <f t="shared" ref="N402:N403" si="90">J402*L402</f>
        <v>24</v>
      </c>
      <c r="O402" s="40">
        <v>1</v>
      </c>
      <c r="P402" s="57">
        <f>N402+O402</f>
        <v>25</v>
      </c>
    </row>
    <row r="403" spans="3:16" ht="18.75" customHeight="1">
      <c r="C403" s="40" t="s">
        <v>1123</v>
      </c>
      <c r="D403" s="40" t="s">
        <v>875</v>
      </c>
      <c r="E403" s="40"/>
      <c r="F403" s="40">
        <v>25</v>
      </c>
      <c r="G403" s="40"/>
      <c r="H403" s="45"/>
      <c r="I403" s="40">
        <v>2</v>
      </c>
      <c r="J403" s="46">
        <f t="shared" ref="J403" si="91">(G403*2*0.001+H403*2*0.001)*I403</f>
        <v>0</v>
      </c>
      <c r="K403" s="40"/>
      <c r="L403" s="40">
        <f>VLOOKUP(F403,BM!$A$2:$X$57,4,FALSE)</f>
        <v>0.15</v>
      </c>
      <c r="M403" s="40"/>
      <c r="N403" s="49">
        <f t="shared" si="90"/>
        <v>0</v>
      </c>
      <c r="O403" s="40">
        <v>1</v>
      </c>
      <c r="P403" s="57">
        <f>N403+O403</f>
        <v>1</v>
      </c>
    </row>
    <row r="404" spans="3:16" ht="18.75" customHeight="1">
      <c r="E404" s="35"/>
      <c r="N404" s="54"/>
      <c r="O404" s="35"/>
      <c r="P404" s="61"/>
    </row>
    <row r="406" spans="3:16" ht="18.75" customHeight="1">
      <c r="C406" s="68" t="s">
        <v>1124</v>
      </c>
      <c r="D406" s="68">
        <v>1536</v>
      </c>
      <c r="E406" s="68"/>
      <c r="F406" s="69"/>
      <c r="G406" s="69"/>
      <c r="H406" s="69"/>
      <c r="I406" s="69"/>
      <c r="J406" s="69"/>
      <c r="K406" s="69"/>
      <c r="L406" s="69"/>
    </row>
    <row r="407" spans="3:16" ht="18.75" customHeight="1">
      <c r="C407" s="68" t="s">
        <v>1125</v>
      </c>
      <c r="D407" s="68">
        <v>25</v>
      </c>
      <c r="E407" s="68"/>
      <c r="F407" s="69"/>
      <c r="G407" s="69"/>
      <c r="H407" s="69"/>
      <c r="I407" s="69"/>
      <c r="J407" s="69"/>
      <c r="K407" s="69"/>
      <c r="L407" s="69"/>
    </row>
    <row r="408" spans="3:16" ht="18.75" customHeight="1">
      <c r="C408" s="68" t="s">
        <v>1126</v>
      </c>
      <c r="D408" s="70">
        <f>D407+D406</f>
        <v>1561</v>
      </c>
      <c r="E408" s="68"/>
      <c r="F408" s="69"/>
      <c r="G408" s="69"/>
      <c r="H408" s="69"/>
      <c r="I408" s="69"/>
      <c r="J408" s="69"/>
      <c r="K408" s="69"/>
      <c r="L408" s="69"/>
    </row>
    <row r="409" spans="3:16" ht="18.75" customHeight="1">
      <c r="C409" s="68" t="s">
        <v>1127</v>
      </c>
      <c r="D409" s="68"/>
      <c r="E409" s="68" t="s">
        <v>1128</v>
      </c>
      <c r="F409" s="68" t="s">
        <v>1129</v>
      </c>
      <c r="G409" s="68" t="s">
        <v>1130</v>
      </c>
      <c r="H409" s="68" t="s">
        <v>1131</v>
      </c>
      <c r="I409" s="73" t="s">
        <v>1132</v>
      </c>
      <c r="J409" s="68" t="s">
        <v>1133</v>
      </c>
      <c r="K409" s="73" t="s">
        <v>1134</v>
      </c>
    </row>
    <row r="410" spans="3:16" ht="18.75" customHeight="1">
      <c r="C410" s="68" t="s">
        <v>1135</v>
      </c>
      <c r="D410" s="68"/>
      <c r="E410" s="68"/>
      <c r="F410" s="68">
        <v>18</v>
      </c>
      <c r="G410" s="68">
        <v>1890</v>
      </c>
      <c r="H410" s="68">
        <v>1</v>
      </c>
      <c r="I410" s="68">
        <v>1890</v>
      </c>
      <c r="J410" s="74">
        <f>VLOOKUP(F410,BM!$A$2:$X$57,22,FALSE)</f>
        <v>3.4</v>
      </c>
      <c r="K410" s="75">
        <f>I410*0.001*J410</f>
        <v>6.4260000000000002</v>
      </c>
    </row>
    <row r="411" spans="3:16" ht="18.75" customHeight="1">
      <c r="C411" s="68" t="s">
        <v>1136</v>
      </c>
      <c r="D411" s="68"/>
      <c r="E411" s="70"/>
      <c r="F411" s="68">
        <v>18</v>
      </c>
      <c r="G411" s="68">
        <v>539</v>
      </c>
      <c r="H411" s="68">
        <v>4</v>
      </c>
      <c r="I411" s="68">
        <f>G411*H411*2</f>
        <v>4312</v>
      </c>
      <c r="J411" s="74">
        <f>VLOOKUP(F411,BM!$A$2:$X$57,22,FALSE)</f>
        <v>3.4</v>
      </c>
      <c r="K411" s="75">
        <f>I411*0.001*J411</f>
        <v>14.6608</v>
      </c>
    </row>
    <row r="412" spans="3:16" ht="18.75" customHeight="1">
      <c r="C412" s="68" t="s">
        <v>1137</v>
      </c>
      <c r="D412" s="68"/>
      <c r="E412" s="70"/>
      <c r="F412" s="68">
        <v>18</v>
      </c>
      <c r="G412" s="68">
        <v>138</v>
      </c>
      <c r="H412" s="68">
        <v>4</v>
      </c>
      <c r="I412" s="68">
        <f>G412*H412*2</f>
        <v>1104</v>
      </c>
      <c r="J412" s="74">
        <f>VLOOKUP(F412,BM!$A$2:$X$57,22,FALSE)</f>
        <v>3.4</v>
      </c>
      <c r="K412" s="75">
        <f>I412*0.001*J412</f>
        <v>3.7536</v>
      </c>
    </row>
    <row r="413" spans="3:16" ht="18.75" customHeight="1">
      <c r="C413" s="34"/>
      <c r="D413" s="34"/>
      <c r="E413" s="34"/>
      <c r="K413" s="76">
        <f>SUM(K410:K412)</f>
        <v>24.840399999999999</v>
      </c>
    </row>
    <row r="414" spans="3:16" ht="18.75" customHeight="1">
      <c r="C414" s="34"/>
      <c r="D414" s="34"/>
      <c r="E414" s="34"/>
      <c r="I414" s="34" t="s">
        <v>1138</v>
      </c>
      <c r="J414" s="34">
        <v>4</v>
      </c>
    </row>
    <row r="415" spans="3:16" ht="18.75" customHeight="1">
      <c r="C415" s="34"/>
      <c r="D415" s="34"/>
      <c r="E415" s="34"/>
      <c r="I415" s="34" t="s">
        <v>1139</v>
      </c>
      <c r="K415" s="76">
        <f>K413*J414</f>
        <v>99.361599999999996</v>
      </c>
      <c r="L415" s="34" t="s">
        <v>48</v>
      </c>
    </row>
    <row r="416" spans="3:16" ht="18.75" customHeight="1">
      <c r="C416" s="34"/>
      <c r="D416" s="34"/>
      <c r="E416" s="34"/>
    </row>
    <row r="417" spans="3:12" ht="18.75" customHeight="1">
      <c r="C417" s="68" t="s">
        <v>1124</v>
      </c>
      <c r="D417" s="68">
        <v>1536</v>
      </c>
      <c r="E417" s="68"/>
      <c r="F417" s="69"/>
      <c r="G417" s="69"/>
      <c r="H417" s="69"/>
      <c r="I417" s="69"/>
      <c r="J417" s="69"/>
      <c r="K417" s="69"/>
      <c r="L417" s="69"/>
    </row>
    <row r="418" spans="3:12" ht="18.75" customHeight="1">
      <c r="C418" s="68" t="s">
        <v>1125</v>
      </c>
      <c r="D418" s="68">
        <v>25</v>
      </c>
      <c r="E418" s="68"/>
      <c r="F418" s="69"/>
      <c r="G418" s="69"/>
      <c r="H418" s="69"/>
      <c r="I418" s="69"/>
      <c r="J418" s="69"/>
      <c r="K418" s="69"/>
      <c r="L418" s="69"/>
    </row>
    <row r="419" spans="3:12" ht="18.75" customHeight="1">
      <c r="C419" s="68" t="s">
        <v>1126</v>
      </c>
      <c r="D419" s="70">
        <f>D418+D417</f>
        <v>1561</v>
      </c>
      <c r="E419" s="68"/>
      <c r="F419" s="69"/>
      <c r="G419" s="69"/>
      <c r="H419" s="69"/>
      <c r="I419" s="69"/>
      <c r="J419" s="69"/>
      <c r="K419" s="69"/>
      <c r="L419" s="69"/>
    </row>
    <row r="420" spans="3:12" ht="18.75" customHeight="1">
      <c r="C420" s="70" t="s">
        <v>1140</v>
      </c>
      <c r="D420" s="68"/>
      <c r="E420" s="68" t="s">
        <v>1128</v>
      </c>
      <c r="F420" s="68" t="s">
        <v>1129</v>
      </c>
      <c r="G420" s="68" t="s">
        <v>1130</v>
      </c>
      <c r="H420" s="68" t="s">
        <v>1131</v>
      </c>
      <c r="I420" s="73" t="s">
        <v>1132</v>
      </c>
      <c r="J420" s="68" t="s">
        <v>1133</v>
      </c>
      <c r="K420" s="73" t="s">
        <v>1134</v>
      </c>
    </row>
    <row r="421" spans="3:12" ht="18.75" customHeight="1">
      <c r="C421" s="68" t="s">
        <v>1141</v>
      </c>
      <c r="D421" s="68"/>
      <c r="E421" s="68"/>
      <c r="F421" s="68">
        <v>18</v>
      </c>
      <c r="G421" s="68">
        <v>1890</v>
      </c>
      <c r="H421" s="68">
        <v>2</v>
      </c>
      <c r="I421" s="68">
        <v>1890</v>
      </c>
      <c r="J421" s="74">
        <f>VLOOKUP(F421,BM!$A$2:$X$57,22,FALSE)</f>
        <v>3.4</v>
      </c>
      <c r="K421" s="75">
        <f>I421*0.001*J421</f>
        <v>6.4260000000000002</v>
      </c>
    </row>
    <row r="422" spans="3:12" ht="18.75" customHeight="1">
      <c r="C422" s="68" t="s">
        <v>1142</v>
      </c>
      <c r="D422" s="68"/>
      <c r="E422" s="68"/>
      <c r="F422" s="68">
        <v>18</v>
      </c>
      <c r="G422" s="68">
        <v>2336</v>
      </c>
      <c r="H422" s="68">
        <v>2</v>
      </c>
      <c r="I422" s="68">
        <f>G422*H422*2</f>
        <v>9344</v>
      </c>
      <c r="J422" s="68">
        <f>VLOOKUP(F422,BM!$A$2:$X$57,22,FALSE)</f>
        <v>3.4</v>
      </c>
      <c r="K422" s="77">
        <f>I422*0.001*J422</f>
        <v>31.769599999999997</v>
      </c>
    </row>
    <row r="423" spans="3:12" ht="18.75" customHeight="1">
      <c r="C423" s="68" t="s">
        <v>1143</v>
      </c>
      <c r="D423" s="68"/>
      <c r="E423" s="68"/>
      <c r="F423" s="68">
        <v>18</v>
      </c>
      <c r="G423" s="68">
        <v>320</v>
      </c>
      <c r="H423" s="68">
        <v>1</v>
      </c>
      <c r="I423" s="68">
        <f>G423*H423*2</f>
        <v>640</v>
      </c>
      <c r="J423" s="68">
        <f>VLOOKUP(F423,BM!$A$2:$X$57,22,FALSE)</f>
        <v>3.4</v>
      </c>
      <c r="K423" s="77">
        <f>I423*0.001*J423</f>
        <v>2.1760000000000002</v>
      </c>
    </row>
    <row r="424" spans="3:12" ht="18.75" customHeight="1">
      <c r="C424" s="68" t="s">
        <v>1144</v>
      </c>
      <c r="D424" s="68"/>
      <c r="E424" s="68"/>
      <c r="F424" s="68">
        <v>18</v>
      </c>
      <c r="G424" s="68">
        <f>G422-D419</f>
        <v>775</v>
      </c>
      <c r="H424" s="68">
        <v>4</v>
      </c>
      <c r="I424" s="68">
        <f>G424*H424*2</f>
        <v>6200</v>
      </c>
      <c r="J424" s="68">
        <f>VLOOKUP(F424,BM!$A$2:$X$57,22,FALSE)</f>
        <v>3.4</v>
      </c>
      <c r="K424" s="77">
        <f>SUM(K421:K422)</f>
        <v>38.195599999999999</v>
      </c>
    </row>
    <row r="425" spans="3:12" ht="18.75" customHeight="1">
      <c r="C425" s="68" t="s">
        <v>1145</v>
      </c>
      <c r="D425" s="68"/>
      <c r="E425" s="68"/>
      <c r="F425" s="68">
        <v>18</v>
      </c>
      <c r="G425" s="68">
        <v>160</v>
      </c>
      <c r="H425" s="68">
        <v>4</v>
      </c>
      <c r="I425" s="68">
        <f>G425*H425*2*2</f>
        <v>2560</v>
      </c>
      <c r="J425" s="68">
        <f>VLOOKUP(F425,BM!$A$2:$X$57,22,FALSE)</f>
        <v>3.4</v>
      </c>
      <c r="K425" s="77">
        <f>SUM(K422:K423)</f>
        <v>33.945599999999999</v>
      </c>
    </row>
    <row r="426" spans="3:12" ht="18.75" customHeight="1">
      <c r="C426" s="71"/>
      <c r="D426" s="71"/>
      <c r="E426" s="71"/>
      <c r="F426" s="71"/>
      <c r="G426" s="71"/>
      <c r="H426" s="71"/>
      <c r="I426" s="71"/>
      <c r="J426" s="71"/>
      <c r="K426" s="78">
        <f>SUM(K421:K425)</f>
        <v>112.5128</v>
      </c>
    </row>
    <row r="427" spans="3:12" ht="18.75" customHeight="1">
      <c r="C427" s="34"/>
      <c r="D427" s="34"/>
      <c r="E427" s="34"/>
      <c r="I427" s="34" t="s">
        <v>1138</v>
      </c>
      <c r="J427" s="34">
        <v>4</v>
      </c>
      <c r="K427" s="79">
        <f>K426*J427</f>
        <v>450.05119999999999</v>
      </c>
    </row>
    <row r="428" spans="3:12" ht="18.75" customHeight="1">
      <c r="L428" s="47"/>
    </row>
  </sheetData>
  <mergeCells count="15">
    <mergeCell ref="B152:B159"/>
    <mergeCell ref="B162:B165"/>
    <mergeCell ref="B168:B176"/>
    <mergeCell ref="B179:B189"/>
    <mergeCell ref="B191:B199"/>
    <mergeCell ref="B202:B210"/>
    <mergeCell ref="B213:B221"/>
    <mergeCell ref="B224:B230"/>
    <mergeCell ref="B233:B239"/>
    <mergeCell ref="B243:B253"/>
    <mergeCell ref="B256:B271"/>
    <mergeCell ref="B274:B281"/>
    <mergeCell ref="B284:B291"/>
    <mergeCell ref="B294:B301"/>
    <mergeCell ref="B303:B327"/>
  </mergeCells>
  <pageMargins left="0.30902777777777801" right="0.21875" top="0.75" bottom="0.75" header="0.3" footer="0.3"/>
  <pageSetup paperSize="9" scale="85" orientation="landscape"/>
  <headerFooter>
    <oddFooter>&amp;L&amp;F&amp;C&amp;P/&amp;N&amp;R&amp;D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6"/>
  <sheetViews>
    <sheetView showGridLines="0" topLeftCell="A2" workbookViewId="0">
      <selection activeCell="Q3" sqref="Q3"/>
    </sheetView>
  </sheetViews>
  <sheetFormatPr defaultColWidth="9.1328125" defaultRowHeight="13.5"/>
  <cols>
    <col min="1" max="2" width="3.59765625" style="27" customWidth="1"/>
    <col min="3" max="3" width="8.3984375" style="27" customWidth="1"/>
    <col min="4" max="4" width="3.86328125" style="27" customWidth="1"/>
    <col min="5" max="5" width="7.86328125" style="27" customWidth="1"/>
    <col min="6" max="6" width="25.265625" style="27" customWidth="1"/>
    <col min="7" max="7" width="7.86328125" style="27" customWidth="1"/>
    <col min="8" max="8" width="3.86328125" style="27" customWidth="1"/>
    <col min="9" max="9" width="4.1328125" style="27" customWidth="1"/>
    <col min="10" max="11" width="7" style="27" customWidth="1"/>
    <col min="12" max="12" width="3.86328125" style="27" customWidth="1"/>
    <col min="13" max="13" width="10.265625" style="27" customWidth="1"/>
    <col min="14" max="21" width="6.265625" style="27" customWidth="1"/>
    <col min="22" max="22" width="5.1328125" style="27" customWidth="1"/>
    <col min="23" max="23" width="7.73046875" style="27" customWidth="1"/>
    <col min="24" max="16384" width="9.1328125" style="27"/>
  </cols>
  <sheetData>
    <row r="2" spans="3:23" s="26" customFormat="1" ht="133.5">
      <c r="C2" s="28" t="s">
        <v>1159</v>
      </c>
      <c r="D2" s="28" t="s">
        <v>1160</v>
      </c>
      <c r="E2" s="28" t="s">
        <v>1161</v>
      </c>
      <c r="F2" s="28" t="s">
        <v>1162</v>
      </c>
      <c r="G2" s="28"/>
      <c r="H2" s="28" t="s">
        <v>867</v>
      </c>
      <c r="I2" s="28" t="s">
        <v>2</v>
      </c>
      <c r="J2" s="28" t="s">
        <v>1163</v>
      </c>
      <c r="K2" s="28" t="s">
        <v>1164</v>
      </c>
      <c r="L2" s="28" t="s">
        <v>4</v>
      </c>
      <c r="M2" s="30" t="s">
        <v>789</v>
      </c>
      <c r="N2" s="30" t="s">
        <v>790</v>
      </c>
      <c r="O2" s="30" t="s">
        <v>1083</v>
      </c>
      <c r="P2" s="30" t="s">
        <v>1165</v>
      </c>
      <c r="Q2" s="30" t="s">
        <v>1166</v>
      </c>
      <c r="R2" s="30" t="s">
        <v>1082</v>
      </c>
      <c r="S2" s="30" t="s">
        <v>1167</v>
      </c>
      <c r="T2" s="30" t="s">
        <v>1168</v>
      </c>
      <c r="U2" s="30" t="s">
        <v>1169</v>
      </c>
      <c r="V2" s="30" t="s">
        <v>1170</v>
      </c>
      <c r="W2" s="30" t="s">
        <v>1171</v>
      </c>
    </row>
    <row r="3" spans="3:23">
      <c r="C3" s="29" t="s">
        <v>1172</v>
      </c>
      <c r="D3" s="29">
        <v>1</v>
      </c>
      <c r="E3" s="29" t="s">
        <v>1173</v>
      </c>
      <c r="F3" s="29"/>
      <c r="G3" s="29" t="s">
        <v>1174</v>
      </c>
      <c r="H3" s="29" t="s">
        <v>875</v>
      </c>
      <c r="I3" s="29">
        <v>18</v>
      </c>
      <c r="J3" s="29">
        <v>1200</v>
      </c>
      <c r="K3" s="29">
        <v>2500</v>
      </c>
      <c r="L3" s="29">
        <v>1</v>
      </c>
      <c r="M3" s="31" t="str">
        <f>IFERROR(VLOOKUP(I$3,#REF!,3,TRUE)*(($J3*3.142+$K3*2)*$L3)/1000/60,"")</f>
        <v/>
      </c>
      <c r="N3" s="31" t="str">
        <f>IFERROR(VLOOKUP($I3,#REF!,3,TRUE)*(($J3*3.142+$K3+$K3)*$L3)/1000/60,"")</f>
        <v/>
      </c>
      <c r="O3" s="31" t="str">
        <f>IFERROR(VLOOKUP(I3,#REF!,3,TRUE)*(($J3*3.142+$K3+$K3)*$L3)/1000/60,"")</f>
        <v/>
      </c>
      <c r="P3" s="31" t="str">
        <f>IFERROR(VLOOKUP($I3,#REF!,3,TRUE)*(($K3*2)*$L3)/1000/60,"")</f>
        <v/>
      </c>
      <c r="Q3" s="31" t="str">
        <f>IFERROR(VLOOKUP($I3,#REF!,3,TRUE)*(($K3*2)*$L3)/1000/60,"")</f>
        <v/>
      </c>
      <c r="R3" s="31" t="str">
        <f>IFERROR(VLOOKUP($I3,#REF!,3,TRUE)*($K3*$L3)/1000/60,"")</f>
        <v/>
      </c>
      <c r="S3" s="31" t="str">
        <f>IFERROR(VLOOKUP($I3,#REF!,3,TRUE)*($K3*$L3)/1000/60,"")</f>
        <v/>
      </c>
      <c r="T3" s="31" t="str">
        <f>IFERROR(VLOOKUP($I3,#REF!,3,TRUE)*($K3*$L3)/1000/60,"")</f>
        <v/>
      </c>
      <c r="U3" s="31">
        <f>K3/1000*45/60</f>
        <v>1.875</v>
      </c>
      <c r="V3" s="31"/>
      <c r="W3" s="31">
        <f>SUM(M3:V3)</f>
        <v>1.875</v>
      </c>
    </row>
    <row r="4" spans="3:23">
      <c r="C4" s="29" t="s">
        <v>1172</v>
      </c>
      <c r="D4" s="29">
        <v>1</v>
      </c>
      <c r="E4" s="29" t="s">
        <v>1173</v>
      </c>
      <c r="F4" s="29"/>
      <c r="G4" s="29" t="s">
        <v>1175</v>
      </c>
      <c r="H4" s="29" t="s">
        <v>875</v>
      </c>
      <c r="I4" s="29">
        <v>18</v>
      </c>
      <c r="J4" s="29">
        <v>1200</v>
      </c>
      <c r="K4" s="29">
        <v>2500</v>
      </c>
      <c r="L4" s="29">
        <v>1</v>
      </c>
      <c r="M4" s="31" t="str">
        <f>IFERROR(VLOOKUP(I$3,#REF!,3,TRUE)*(($J4*3.142+$K4*2)*$L4)/1000/60,"")</f>
        <v/>
      </c>
      <c r="N4" s="31" t="str">
        <f>IFERROR(VLOOKUP($I4,#REF!,3,TRUE)*(($J4*3.142+$K4+$K4)*$L4)/1000/60,"")</f>
        <v/>
      </c>
      <c r="O4" s="31" t="str">
        <f>IFERROR(VLOOKUP(I4,#REF!,3,TRUE)*(($J4*3.142+$K4+$K4)*$L4)/1000/60,"")</f>
        <v/>
      </c>
      <c r="P4" s="31" t="str">
        <f>IFERROR(VLOOKUP($I4,#REF!,3,TRUE)*(($K4*2)*$L4)/1000/60,"")</f>
        <v/>
      </c>
      <c r="Q4" s="31" t="str">
        <f>IFERROR(VLOOKUP($I4,#REF!,3,TRUE)*(($K4*2)*$L4)/1000/60,"")</f>
        <v/>
      </c>
      <c r="R4" s="31" t="str">
        <f>IFERROR(VLOOKUP($I4,#REF!,3,TRUE)*($K4*$L4)/1000/60,"")</f>
        <v/>
      </c>
      <c r="S4" s="31" t="str">
        <f>IFERROR(VLOOKUP($I4,#REF!,3,TRUE)*($K4*$L4)/1000/60,"")</f>
        <v/>
      </c>
      <c r="T4" s="31" t="str">
        <f>IFERROR(VLOOKUP($I4,#REF!,3,TRUE)*($K4*$L4)/1000/60,"")</f>
        <v/>
      </c>
      <c r="U4" s="31">
        <f t="shared" ref="U4:U5" si="0">K4/1000*45/60</f>
        <v>1.875</v>
      </c>
      <c r="V4" s="31"/>
      <c r="W4" s="31">
        <f t="shared" ref="W4" si="1">SUM(M4:V4)</f>
        <v>1.875</v>
      </c>
    </row>
    <row r="5" spans="3:23">
      <c r="C5" s="29" t="s">
        <v>1172</v>
      </c>
      <c r="D5" s="29">
        <v>1</v>
      </c>
      <c r="E5" s="29" t="s">
        <v>1173</v>
      </c>
      <c r="F5" s="29"/>
      <c r="G5" s="29" t="s">
        <v>1175</v>
      </c>
      <c r="H5" s="29" t="s">
        <v>875</v>
      </c>
      <c r="I5" s="29">
        <v>18</v>
      </c>
      <c r="J5" s="29">
        <v>1200</v>
      </c>
      <c r="K5" s="29">
        <v>2000</v>
      </c>
      <c r="L5" s="29">
        <v>1</v>
      </c>
      <c r="M5" s="31" t="str">
        <f>IFERROR(VLOOKUP(I$3,#REF!,3,TRUE)*(($J5*3.142+$K5*2)*$L5)/1000/60,"")</f>
        <v/>
      </c>
      <c r="N5" s="31" t="str">
        <f>IFERROR(VLOOKUP($I5,#REF!,3,TRUE)*(($J5*3.142+$K5+$K5)*$L5)/1000/60,"")</f>
        <v/>
      </c>
      <c r="O5" s="31" t="str">
        <f>IFERROR(VLOOKUP(I5,#REF!,3,TRUE)*(($J5*3.142+$K5+$K5)*$L5)/1000/60,"")</f>
        <v/>
      </c>
      <c r="P5" s="31" t="str">
        <f>IFERROR(VLOOKUP($I5,#REF!,3,TRUE)*(($K5*2)*$L5)/1000/60,"")</f>
        <v/>
      </c>
      <c r="Q5" s="31" t="str">
        <f>IFERROR(VLOOKUP($I5,#REF!,3,TRUE)*(($K5*2)*$L5)/1000/60,"")</f>
        <v/>
      </c>
      <c r="R5" s="31" t="str">
        <f>IFERROR(VLOOKUP($I5,#REF!,3,TRUE)*($K5*$L5)/1000/60,"")</f>
        <v/>
      </c>
      <c r="S5" s="31" t="str">
        <f>IFERROR(VLOOKUP($I5,#REF!,3,TRUE)*($K5*$L5)/1000/60,"")</f>
        <v/>
      </c>
      <c r="T5" s="31" t="str">
        <f>IFERROR(VLOOKUP($I5,#REF!,3,TRUE)*($K5*$L5)/1000/60,"")</f>
        <v/>
      </c>
      <c r="U5" s="31">
        <f t="shared" si="0"/>
        <v>1.5</v>
      </c>
      <c r="V5" s="31"/>
      <c r="W5" s="31">
        <f t="shared" ref="W5:W8" si="2">SUM(M5:V5)</f>
        <v>1.5</v>
      </c>
    </row>
    <row r="6" spans="3:23">
      <c r="C6" s="29" t="s">
        <v>1172</v>
      </c>
      <c r="D6" s="29">
        <v>1</v>
      </c>
      <c r="E6" s="29" t="s">
        <v>1173</v>
      </c>
      <c r="F6" s="29" t="s">
        <v>1176</v>
      </c>
      <c r="G6" s="29" t="s">
        <v>1177</v>
      </c>
      <c r="H6" s="29" t="s">
        <v>875</v>
      </c>
      <c r="I6" s="29">
        <v>18</v>
      </c>
      <c r="J6" s="29">
        <v>1200</v>
      </c>
      <c r="K6" s="29"/>
      <c r="L6" s="29">
        <v>1</v>
      </c>
      <c r="M6" s="31"/>
      <c r="N6" s="31"/>
      <c r="O6" s="31"/>
      <c r="P6" s="31" t="str">
        <f>IFERROR(VLOOKUP($I6,#REF!,4,TRUE)*($J6*3.142*2)/1000/60,"")</f>
        <v/>
      </c>
      <c r="Q6" s="31" t="str">
        <f>IFERROR(VLOOKUP($I6,#REF!,4,TRUE)*($J6*3.142*$L6)/1000/60,"")</f>
        <v/>
      </c>
      <c r="R6" s="31" t="str">
        <f>IFERROR(VLOOKUP($I6,#REF!,4,TRUE)*($J6*3.142*$L6)/1000/60,"")</f>
        <v/>
      </c>
      <c r="S6" s="31" t="str">
        <f>IFERROR(VLOOKUP($I6,#REF!,3,TRUE)*($J6*3.142*$L6)/1000/60,"")</f>
        <v/>
      </c>
      <c r="T6" s="31" t="str">
        <f>IFERROR(VLOOKUP($I6,#REF!,3,TRUE)*($J6*$L6)/1000/60,"")</f>
        <v/>
      </c>
      <c r="U6" s="31">
        <f>J6*3.142*L6/1000*45/60</f>
        <v>2.8278000000000003</v>
      </c>
      <c r="V6" s="31"/>
      <c r="W6" s="31">
        <f t="shared" si="2"/>
        <v>2.8278000000000003</v>
      </c>
    </row>
    <row r="7" spans="3:23">
      <c r="C7" s="29" t="s">
        <v>1172</v>
      </c>
      <c r="D7" s="29">
        <v>1</v>
      </c>
      <c r="E7" s="29" t="s">
        <v>1173</v>
      </c>
      <c r="F7" s="29" t="s">
        <v>1178</v>
      </c>
      <c r="G7" s="29" t="s">
        <v>1179</v>
      </c>
      <c r="H7" s="29" t="s">
        <v>875</v>
      </c>
      <c r="I7" s="29">
        <v>18</v>
      </c>
      <c r="J7" s="29">
        <v>1200</v>
      </c>
      <c r="K7" s="29"/>
      <c r="L7" s="29">
        <v>1</v>
      </c>
      <c r="M7" s="31"/>
      <c r="N7" s="31"/>
      <c r="O7" s="31"/>
      <c r="P7" s="31" t="str">
        <f>IFERROR(VLOOKUP($I7,#REF!,4,TRUE)*($J7*3.142*2)/1000/60,"")</f>
        <v/>
      </c>
      <c r="Q7" s="31" t="str">
        <f>IFERROR(VLOOKUP($I7,#REF!,4,TRUE)*($J7*3.142*$L7)/1000/60,"")</f>
        <v/>
      </c>
      <c r="R7" s="31" t="str">
        <f>IFERROR(VLOOKUP($I7,#REF!,4,TRUE)*($J7*3.142*$L7)/1000/60,"")</f>
        <v/>
      </c>
      <c r="S7" s="31" t="str">
        <f>IFERROR(VLOOKUP($I7,#REF!,3,TRUE)*($J7*3.142*$L7)/1000/60,"")</f>
        <v/>
      </c>
      <c r="T7" s="31" t="str">
        <f>IFERROR(VLOOKUP($I7,#REF!,3,TRUE)*($J7*$L7)/1000/60,"")</f>
        <v/>
      </c>
      <c r="U7" s="31">
        <f t="shared" ref="U7:U8" si="3">J7*3.142*L7/1000*45/60</f>
        <v>2.8278000000000003</v>
      </c>
      <c r="V7" s="31"/>
      <c r="W7" s="31">
        <f t="shared" si="2"/>
        <v>2.8278000000000003</v>
      </c>
    </row>
    <row r="8" spans="3:23">
      <c r="C8" s="29" t="s">
        <v>1172</v>
      </c>
      <c r="D8" s="29">
        <v>1</v>
      </c>
      <c r="E8" s="29" t="s">
        <v>1173</v>
      </c>
      <c r="F8" s="29" t="s">
        <v>1180</v>
      </c>
      <c r="G8" s="29" t="s">
        <v>1181</v>
      </c>
      <c r="H8" s="29" t="s">
        <v>875</v>
      </c>
      <c r="I8" s="29">
        <v>18</v>
      </c>
      <c r="J8" s="29">
        <v>1200</v>
      </c>
      <c r="K8" s="29"/>
      <c r="L8" s="29">
        <v>1</v>
      </c>
      <c r="M8" s="31"/>
      <c r="N8" s="31"/>
      <c r="O8" s="31"/>
      <c r="P8" s="31" t="str">
        <f>IFERROR(VLOOKUP($I8,#REF!,4,TRUE)*($J8*3.142*2)/1000/60,"")</f>
        <v/>
      </c>
      <c r="Q8" s="31" t="str">
        <f>IFERROR(VLOOKUP($I8,#REF!,4,TRUE)*($J8*3.142*$L8)/1000/60,"")</f>
        <v/>
      </c>
      <c r="R8" s="31" t="str">
        <f>IFERROR(VLOOKUP($I8,#REF!,4,TRUE)*($J8*3.142*$L8)/1000/60,"")</f>
        <v/>
      </c>
      <c r="S8" s="31" t="str">
        <f>IFERROR(VLOOKUP($I8,#REF!,3,TRUE)*($J8*3.142*$L8)/1000/60,"")</f>
        <v/>
      </c>
      <c r="T8" s="31" t="str">
        <f>IFERROR(VLOOKUP($I8,#REF!,3,TRUE)*($J8*$L8)/1000/60,"")</f>
        <v/>
      </c>
      <c r="U8" s="31">
        <f t="shared" si="3"/>
        <v>2.8278000000000003</v>
      </c>
      <c r="V8" s="31"/>
      <c r="W8" s="31">
        <f t="shared" si="2"/>
        <v>2.8278000000000003</v>
      </c>
    </row>
    <row r="9" spans="3:23">
      <c r="C9" s="29" t="s">
        <v>1172</v>
      </c>
      <c r="D9" s="29">
        <v>1</v>
      </c>
      <c r="E9" s="29" t="s">
        <v>1173</v>
      </c>
      <c r="F9" s="29" t="s">
        <v>1182</v>
      </c>
      <c r="G9" s="29"/>
      <c r="H9" s="29"/>
      <c r="I9" s="29">
        <v>18</v>
      </c>
      <c r="J9" s="29">
        <v>1200</v>
      </c>
      <c r="K9" s="29"/>
      <c r="L9" s="29"/>
      <c r="M9" s="31">
        <v>2</v>
      </c>
      <c r="N9" s="31">
        <v>2</v>
      </c>
      <c r="O9" s="31"/>
      <c r="P9" s="31"/>
      <c r="Q9" s="31"/>
      <c r="R9" s="31"/>
      <c r="S9" s="31"/>
      <c r="T9" s="31"/>
      <c r="U9" s="31"/>
      <c r="V9" s="31"/>
      <c r="W9" s="31"/>
    </row>
    <row r="10" spans="3:23"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3:23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3:23"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4" spans="3:23">
      <c r="Q14" s="32"/>
      <c r="R14" s="32"/>
      <c r="S14" s="32"/>
      <c r="T14" s="32"/>
      <c r="U14" s="32"/>
    </row>
    <row r="15" spans="3:23">
      <c r="M15" s="32">
        <f>SUM(M3:M14)</f>
        <v>2</v>
      </c>
      <c r="N15" s="32">
        <f>SUM(N3:N14)</f>
        <v>2</v>
      </c>
      <c r="O15" s="32">
        <f>SUM(O3:O14)</f>
        <v>0</v>
      </c>
      <c r="P15" s="32">
        <f>SUM(P3:P14)</f>
        <v>0</v>
      </c>
      <c r="Q15" s="32">
        <f t="shared" ref="Q15:U15" si="4">SUM(Q3:Q14)</f>
        <v>0</v>
      </c>
      <c r="R15" s="32">
        <f t="shared" si="4"/>
        <v>0</v>
      </c>
      <c r="S15" s="32">
        <f t="shared" si="4"/>
        <v>0</v>
      </c>
      <c r="T15" s="32">
        <f t="shared" si="4"/>
        <v>0</v>
      </c>
      <c r="U15" s="32">
        <f t="shared" si="4"/>
        <v>13.7334</v>
      </c>
    </row>
    <row r="16" spans="3:23">
      <c r="M16" s="32"/>
    </row>
  </sheetData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PoP</vt:lpstr>
      <vt:lpstr>4220F</vt:lpstr>
      <vt:lpstr>4220D</vt:lpstr>
      <vt:lpstr>PLAN IN EXCEL</vt:lpstr>
      <vt:lpstr>BM</vt:lpstr>
      <vt:lpstr>ACTIVITY (2)</vt:lpstr>
      <vt:lpstr>ACTIVITY</vt:lpstr>
      <vt:lpstr>ESTIMATE (2)</vt:lpstr>
      <vt:lpstr>Sheet3</vt:lpstr>
      <vt:lpstr>NOZZLE</vt:lpstr>
      <vt:lpstr>Welding Qty Estimate</vt:lpstr>
      <vt:lpstr>'4220D'!Print_Area</vt:lpstr>
      <vt:lpstr>'4220F'!Print_Area</vt:lpstr>
      <vt:lpstr>ACTIVITY!Print_Area</vt:lpstr>
      <vt:lpstr>'ACTIVITY (2)'!Print_Area</vt:lpstr>
      <vt:lpstr>BM!Print_Area</vt:lpstr>
      <vt:lpstr>'4220D'!Print_Titles</vt:lpstr>
      <vt:lpstr>'4220F'!Print_Titles</vt:lpstr>
      <vt:lpstr>ACTIVITY!Print_Titles</vt:lpstr>
      <vt:lpstr>'ACTIVITY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SRK</dc:creator>
  <cp:lastModifiedBy>Hari Thapliyal</cp:lastModifiedBy>
  <cp:lastPrinted>2018-02-02T10:10:00Z</cp:lastPrinted>
  <dcterms:created xsi:type="dcterms:W3CDTF">2006-09-16T00:00:00Z</dcterms:created>
  <dcterms:modified xsi:type="dcterms:W3CDTF">2018-02-03T13:40:32Z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